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25" windowWidth="14415" windowHeight="8445" activeTab="1"/>
  </bookViews>
  <sheets>
    <sheet name="Vorbereitung" sheetId="1" r:id="rId1"/>
    <sheet name="Bestandserfassung" sheetId="2" r:id="rId2"/>
    <sheet name="Hilfstabelle" sheetId="3" state="veryHidden" r:id="rId3"/>
  </sheets>
  <definedNames>
    <definedName name="__A">'Hilfstabelle'!$Y$17</definedName>
    <definedName name="__HIE">'Hilfstabelle'!$Q$17</definedName>
    <definedName name="__HIT">'Hilfstabelle'!$R$17:$R$18</definedName>
    <definedName name="__HIT_DE">'Hilfstabelle'!$S$17:$S$18</definedName>
    <definedName name="__HME">'Hilfstabelle'!$T$17</definedName>
    <definedName name="__HSE">'Hilfstabelle'!$U$17</definedName>
    <definedName name="__HST">'Hilfstabelle'!$V$17</definedName>
    <definedName name="__Q">'Hilfstabelle'!$Z$17</definedName>
    <definedName name="__T_R">'Hilfstabelle'!$W$17</definedName>
    <definedName name="__T12">'Hilfstabelle'!$K$17:$K$18</definedName>
    <definedName name="__T5">'Hilfstabelle'!$J$17</definedName>
    <definedName name="__T8">'Hilfstabelle'!$I$17:$I$19</definedName>
    <definedName name="__TC">'Hilfstabelle'!$L$17:$L$18</definedName>
    <definedName name="__TC_D">'Hilfstabelle'!$M$17:$M$18</definedName>
    <definedName name="__TC_F">'Hilfstabelle'!$P$17:$P$18</definedName>
    <definedName name="__TC_L">'Hilfstabelle'!$O$17:$O$18</definedName>
    <definedName name="__TC_S">'Hilfstabelle'!$X$17:$X$18</definedName>
    <definedName name="__TC_T">'Hilfstabelle'!$N$17:$N$18</definedName>
    <definedName name="_A">'Hilfstabelle'!$Y$2</definedName>
    <definedName name="_HIE">'Hilfstabelle'!$Q$2:$Q$6</definedName>
    <definedName name="_HIT">'Hilfstabelle'!$R$2:$R$7</definedName>
    <definedName name="_HIT_DE">'Hilfstabelle'!$S$2:$S$8</definedName>
    <definedName name="_HME">'Hilfstabelle'!$T$2:$T$6</definedName>
    <definedName name="_HSE">'Hilfstabelle'!$U$2:$U$7</definedName>
    <definedName name="_HST">'Hilfstabelle'!$V$2:$V$7</definedName>
    <definedName name="_Q">'Hilfstabelle'!$Z$2</definedName>
    <definedName name="_T_R">'Hilfstabelle'!$W$2:$W$6</definedName>
    <definedName name="_T12">'Hilfstabelle'!$K$2:$K$4</definedName>
    <definedName name="_T5">'Hilfstabelle'!$J$2:$J$10</definedName>
    <definedName name="_T8">'Hilfstabelle'!$I$2:$I$4</definedName>
    <definedName name="_TC">'Hilfstabelle'!$L$2:$L$10</definedName>
    <definedName name="_TC_D">'Hilfstabelle'!$M$2:$M$5</definedName>
    <definedName name="_TC_F">'Hilfstabelle'!$P$2:$P$4</definedName>
    <definedName name="_TC_L">'Hilfstabelle'!$O$2:$O$6</definedName>
    <definedName name="_TC_S">'Hilfstabelle'!$X$2:$X$5</definedName>
    <definedName name="_TC_T">'Hilfstabelle'!$N$2:$N$6</definedName>
    <definedName name="_xlnm.Print_Area" localSheetId="1">'Bestandserfassung'!$A$1:$BP$89</definedName>
    <definedName name="Lampentyp">'Hilfstabelle'!$G$1:$G$18</definedName>
    <definedName name="Nutzungsbereiche">'Hilfstabelle'!$AC$1:$AC$26</definedName>
  </definedNames>
  <calcPr fullCalcOnLoad="1"/>
</workbook>
</file>

<file path=xl/sharedStrings.xml><?xml version="1.0" encoding="utf-8"?>
<sst xmlns="http://schemas.openxmlformats.org/spreadsheetml/2006/main" count="622" uniqueCount="238">
  <si>
    <t>Projekt:</t>
  </si>
  <si>
    <t>Projekt Nr.:</t>
  </si>
  <si>
    <t>Anzahl Lampen pro Leuchte</t>
  </si>
  <si>
    <t>VVG</t>
  </si>
  <si>
    <t>Raumnummern</t>
  </si>
  <si>
    <t>Bestandsaufnahme</t>
  </si>
  <si>
    <t>Neuanlage</t>
  </si>
  <si>
    <t>HST</t>
  </si>
  <si>
    <t>HSE</t>
  </si>
  <si>
    <t>HME</t>
  </si>
  <si>
    <t>EVG</t>
  </si>
  <si>
    <t>HIT-DE</t>
  </si>
  <si>
    <t>HIT</t>
  </si>
  <si>
    <t>HIE</t>
  </si>
  <si>
    <t>TC-F</t>
  </si>
  <si>
    <t>TC-L</t>
  </si>
  <si>
    <t>TC-T</t>
  </si>
  <si>
    <t>TC-D</t>
  </si>
  <si>
    <t>TC-S</t>
  </si>
  <si>
    <t>TC</t>
  </si>
  <si>
    <t>T12</t>
  </si>
  <si>
    <t>KVG</t>
  </si>
  <si>
    <t>T8</t>
  </si>
  <si>
    <t>T-R</t>
  </si>
  <si>
    <t>T5</t>
  </si>
  <si>
    <t>Konventionelles induktives Vorschaltgerät</t>
  </si>
  <si>
    <t>Verlustarmes induktives Vorschaltgerät</t>
  </si>
  <si>
    <t>Elektronisches Vorschaltgerät</t>
  </si>
  <si>
    <t>Nennleistung</t>
  </si>
  <si>
    <t>VorsG</t>
  </si>
  <si>
    <t>Lampe</t>
  </si>
  <si>
    <t>induktive Systemleistung</t>
  </si>
  <si>
    <t>Bezeichnung</t>
  </si>
  <si>
    <t>OSRAM</t>
  </si>
  <si>
    <t>PHILIPS</t>
  </si>
  <si>
    <t>Erläuterung</t>
  </si>
  <si>
    <t>FH..., FQ...</t>
  </si>
  <si>
    <t>TL5...</t>
  </si>
  <si>
    <t xml:space="preserve"> (= T16) Leuchtstofflampe in Stabform, Rohrdurchmesser 16 mm</t>
  </si>
  <si>
    <t>L...</t>
  </si>
  <si>
    <t>TLD...</t>
  </si>
  <si>
    <t xml:space="preserve"> (= T26) Leuchtstofflampe in Stabform, Rohrdurchmesser 26 mm</t>
  </si>
  <si>
    <t>TL...</t>
  </si>
  <si>
    <t xml:space="preserve"> (= T38) Leuchtstofflampe in Stabform, Rohrdurchmesser 38 mm</t>
  </si>
  <si>
    <t>FC...</t>
  </si>
  <si>
    <t>TL5 C...</t>
  </si>
  <si>
    <t>Leuchtstofflampe in Ringform, Rohrdurchmesser 16 mm</t>
  </si>
  <si>
    <t>DULUX S...</t>
  </si>
  <si>
    <t>PL-S...</t>
  </si>
  <si>
    <t>Kompaktleuchtstofflampe</t>
  </si>
  <si>
    <t>DULUX L...</t>
  </si>
  <si>
    <t>PL-L</t>
  </si>
  <si>
    <t>DULUX S..., DULUX L...</t>
  </si>
  <si>
    <t>PL-S..., PL-L</t>
  </si>
  <si>
    <t>(je nach Leistung = TC-S oder TC-L)</t>
  </si>
  <si>
    <t>DULUX D...</t>
  </si>
  <si>
    <t>PL-C...</t>
  </si>
  <si>
    <t>DULUX T...</t>
  </si>
  <si>
    <t>PL-T</t>
  </si>
  <si>
    <t>DULUX F...</t>
  </si>
  <si>
    <t>-</t>
  </si>
  <si>
    <t>HQI-E...</t>
  </si>
  <si>
    <t>HPI PLUS...</t>
  </si>
  <si>
    <t>Halogen-Metalldampflampe in Ellipsoidform</t>
  </si>
  <si>
    <t>HCI-T..., HQI-T..., HQI-BT</t>
  </si>
  <si>
    <t>CDM-T..., HPI-T...</t>
  </si>
  <si>
    <t>Halogen-Metalldampflampe in Röhrenform</t>
  </si>
  <si>
    <t>HQI TS...</t>
  </si>
  <si>
    <t>CDM-TD..., MHW-TD..., MHN-TD...</t>
  </si>
  <si>
    <t xml:space="preserve">Halogen-Metalldampflampe, beidseitig gesockelt </t>
  </si>
  <si>
    <t>HQL...</t>
  </si>
  <si>
    <t>HPL...</t>
  </si>
  <si>
    <t>Quecksilberdampf-Hochdrucklampen</t>
  </si>
  <si>
    <t>NAV-E...</t>
  </si>
  <si>
    <t>SON...</t>
  </si>
  <si>
    <t>Natriumdampf-Hochdrucklampen</t>
  </si>
  <si>
    <t>NAV T...</t>
  </si>
  <si>
    <t>SON-T..., SDW-T...</t>
  </si>
  <si>
    <t>A</t>
  </si>
  <si>
    <t>Q</t>
  </si>
  <si>
    <t>Halogen</t>
  </si>
  <si>
    <t>Allgebrauchs Glühlampen</t>
  </si>
  <si>
    <t>HIT_DE</t>
  </si>
  <si>
    <t>T_R</t>
  </si>
  <si>
    <t>TC_S</t>
  </si>
  <si>
    <t>TC_L</t>
  </si>
  <si>
    <t>TC_D</t>
  </si>
  <si>
    <t>TC_T</t>
  </si>
  <si>
    <t>TC_F</t>
  </si>
  <si>
    <r>
      <t xml:space="preserve">Gesamt-
Anschluss-
leistung pro Raumtyp
in W
</t>
    </r>
    <r>
      <rPr>
        <b/>
        <sz val="10"/>
        <color indexed="8"/>
        <rFont val="Arial"/>
        <family val="2"/>
      </rPr>
      <t>[automatisch]</t>
    </r>
  </si>
  <si>
    <r>
      <t xml:space="preserve">KVG: Baujahr Gebäude </t>
    </r>
    <r>
      <rPr>
        <u val="single"/>
        <sz val="11"/>
        <color indexed="8"/>
        <rFont val="Calibri"/>
        <family val="2"/>
      </rPr>
      <t>vor</t>
    </r>
    <r>
      <rPr>
        <sz val="11"/>
        <color theme="1"/>
        <rFont val="Calibri"/>
        <family val="2"/>
      </rPr>
      <t xml:space="preserve"> 1985, keine zwischenzeitliche Sanierung der Beleuchtung</t>
    </r>
  </si>
  <si>
    <r>
      <t xml:space="preserve">VVG: Baujahr Gebäude </t>
    </r>
    <r>
      <rPr>
        <u val="single"/>
        <sz val="11"/>
        <color indexed="8"/>
        <rFont val="Calibri"/>
        <family val="2"/>
      </rPr>
      <t>nach</t>
    </r>
    <r>
      <rPr>
        <sz val="11"/>
        <color theme="1"/>
        <rFont val="Calibri"/>
        <family val="2"/>
      </rPr>
      <t xml:space="preserve"> 1985, Licht flackert beim Einschalten</t>
    </r>
  </si>
  <si>
    <t>EVG: kein Flackern, evt. Handy-Kamera-Test</t>
  </si>
  <si>
    <t>Bestimmung Vorschaltgerät:</t>
  </si>
  <si>
    <r>
      <rPr>
        <b/>
        <sz val="10"/>
        <color indexed="60"/>
        <rFont val="Arial"/>
        <family val="2"/>
      </rPr>
      <t>*1*</t>
    </r>
    <r>
      <rPr>
        <sz val="10"/>
        <color indexed="8"/>
        <rFont val="Arial"/>
        <family val="2"/>
      </rPr>
      <t xml:space="preserve"> gleich bzw. ähnlich große bzw. ähnlich ausgestaltete Räume müssen nur einmal erfasst werden, die Daten werden auf die vergleichbaren Räume übertragen</t>
    </r>
  </si>
  <si>
    <r>
      <rPr>
        <b/>
        <sz val="10"/>
        <color indexed="60"/>
        <rFont val="Arial"/>
        <family val="2"/>
      </rPr>
      <t>*3*</t>
    </r>
    <r>
      <rPr>
        <sz val="10"/>
        <rFont val="Arial"/>
        <family val="2"/>
      </rPr>
      <t xml:space="preserve"> Lampenbezeichnungen</t>
    </r>
  </si>
  <si>
    <r>
      <rPr>
        <b/>
        <sz val="10"/>
        <color indexed="60"/>
        <rFont val="Arial"/>
        <family val="2"/>
      </rPr>
      <t>*4*</t>
    </r>
    <r>
      <rPr>
        <sz val="10"/>
        <color indexed="8"/>
        <rFont val="Arial"/>
        <family val="2"/>
      </rPr>
      <t xml:space="preserve"> Vorschaltgeräte</t>
    </r>
  </si>
  <si>
    <t>Baujahr Leuchte oder Baujahr der Installation</t>
  </si>
  <si>
    <t>Montageart (Anbau, Einbau, Seilabhängung, etc.)</t>
  </si>
  <si>
    <t>Raumausführung (Hell: z.B. helle Wände, weiße Decke; Dunkel: z.B. holzgetäfelt)</t>
  </si>
  <si>
    <t>Lichtmanagement vorhanden? (Anwesenheits-erfassung, Tageslichtsensor, etc.)</t>
  </si>
  <si>
    <t xml:space="preserve"> -&gt; ab hier Lichtplanung</t>
  </si>
  <si>
    <r>
      <rPr>
        <b/>
        <sz val="10"/>
        <color indexed="60"/>
        <rFont val="Arial"/>
        <family val="2"/>
      </rPr>
      <t>*5*</t>
    </r>
    <r>
      <rPr>
        <sz val="10"/>
        <rFont val="Arial"/>
        <family val="2"/>
      </rPr>
      <t xml:space="preserve"> TX-Standard: nur Tageslicht: 20%, nur Anwesenheit: 35%, beides: 55% ; Arno Eversmeyer hat eine Liste mit Werten für verschiedene Raumtypen erstellt</t>
    </r>
  </si>
  <si>
    <r>
      <t xml:space="preserve">System-
leistung </t>
    </r>
    <r>
      <rPr>
        <b/>
        <sz val="10"/>
        <color indexed="8"/>
        <rFont val="Arial"/>
        <family val="2"/>
      </rPr>
      <t>pro Leuchte</t>
    </r>
    <r>
      <rPr>
        <sz val="10"/>
        <color indexed="8"/>
        <rFont val="Arial"/>
        <family val="2"/>
      </rPr>
      <t xml:space="preserve"> in W
</t>
    </r>
    <r>
      <rPr>
        <b/>
        <sz val="10"/>
        <color indexed="8"/>
        <rFont val="Arial"/>
        <family val="2"/>
      </rPr>
      <t>[automatisch]</t>
    </r>
  </si>
  <si>
    <r>
      <t xml:space="preserve">System-
leistung </t>
    </r>
    <r>
      <rPr>
        <b/>
        <sz val="10"/>
        <rFont val="Arial"/>
        <family val="2"/>
      </rPr>
      <t>pro Lampe</t>
    </r>
    <r>
      <rPr>
        <sz val="10"/>
        <rFont val="Arial"/>
        <family val="2"/>
      </rPr>
      <t xml:space="preserve"> in W
</t>
    </r>
    <r>
      <rPr>
        <b/>
        <sz val="10"/>
        <rFont val="Arial"/>
        <family val="2"/>
      </rPr>
      <t>[automatisch]</t>
    </r>
  </si>
  <si>
    <t>Ort, Datum</t>
  </si>
  <si>
    <t>Kunde*</t>
  </si>
  <si>
    <t>Art der Immobilie**</t>
  </si>
  <si>
    <t>Adresse</t>
  </si>
  <si>
    <t>Strasse mit Hausnummer</t>
  </si>
  <si>
    <t>Stadt</t>
  </si>
  <si>
    <t>PLZ</t>
  </si>
  <si>
    <t>Begehung am</t>
  </si>
  <si>
    <t>Begleitung der Begehung durch</t>
  </si>
  <si>
    <t>Herr/Frau</t>
  </si>
  <si>
    <t>Name</t>
  </si>
  <si>
    <t>Telefon</t>
  </si>
  <si>
    <t>E-Mail</t>
  </si>
  <si>
    <t>Zwingend vom Kunden zur Verfügung zu stellen:</t>
  </si>
  <si>
    <t>Grundrisse sämtlicher Geschosse in Papierform</t>
  </si>
  <si>
    <t>Grundrisse sämtlicher Geschosse als Datei***</t>
  </si>
  <si>
    <t>Kundenwunsch</t>
  </si>
  <si>
    <t>1 zu 1-Austausch</t>
  </si>
  <si>
    <t>ja/nein</t>
  </si>
  <si>
    <t>Optimierte Beleuchtung</t>
  </si>
  <si>
    <t>Begehung um</t>
  </si>
  <si>
    <t xml:space="preserve">                                       Unterschrift Begleitperson(en)</t>
  </si>
  <si>
    <t>*      Stadt, Kommunalverband, Gesellschaft, etc.</t>
  </si>
  <si>
    <t>**    Verwaltungs-/Bürogebäude, Schule, Betriebshof, etc.</t>
  </si>
  <si>
    <t>***   Format: dxf, dwg oder pdf, zur Not jpeg, tif;</t>
  </si>
  <si>
    <t xml:space="preserve">       Dateien werden vom Außendienst beschafft</t>
  </si>
  <si>
    <r>
      <rPr>
        <b/>
        <sz val="10"/>
        <color indexed="60"/>
        <rFont val="Arial"/>
        <family val="2"/>
      </rPr>
      <t>*6*</t>
    </r>
    <r>
      <rPr>
        <sz val="10"/>
        <rFont val="Arial"/>
        <family val="2"/>
      </rPr>
      <t xml:space="preserve"> Zusammenfassung von Präsenz- und Tageslichteinsparung nach der Formel des Online-Effizienzrechners</t>
    </r>
  </si>
  <si>
    <t>Bei dem Einsatz von VVG oder KVG wird von einer Nutzung von Duokompensation ausgegangen.</t>
  </si>
  <si>
    <t>Raumhöhe (m)</t>
  </si>
  <si>
    <t>Werte für Effizienzrechner</t>
  </si>
  <si>
    <t>Bürozimmer (Einzel- bis Gruppenbüro)</t>
  </si>
  <si>
    <t>Bürozimmer (Großraumbüro)</t>
  </si>
  <si>
    <t>Besprechungszimmer</t>
  </si>
  <si>
    <t>Schalterhalle</t>
  </si>
  <si>
    <t>Klassenzimmer, Gruppenraum</t>
  </si>
  <si>
    <t>Hörsaal, Auditorium</t>
  </si>
  <si>
    <t>Bettenzimmer im Krankenhaus, Pflegeheim</t>
  </si>
  <si>
    <t>Hotelzimmer</t>
  </si>
  <si>
    <t>Kantine</t>
  </si>
  <si>
    <t>Restaurant</t>
  </si>
  <si>
    <t>Küche in Nichtwohngebäuden</t>
  </si>
  <si>
    <t>Küchenvorbereitung, Küchenlager</t>
  </si>
  <si>
    <t>WC und Sanitärräume</t>
  </si>
  <si>
    <t>Sonstige Aufenthaltsräume</t>
  </si>
  <si>
    <t>Nebenflächen (Flur)</t>
  </si>
  <si>
    <t>Serverraum</t>
  </si>
  <si>
    <t>Werkstatt</t>
  </si>
  <si>
    <t>Zuschauerbereich in Theater und Veranstaltungsbauten</t>
  </si>
  <si>
    <t>Theaterfoyer</t>
  </si>
  <si>
    <t>Bühne</t>
  </si>
  <si>
    <t>Messe, Kongress</t>
  </si>
  <si>
    <t>Ausstellungsräume und Museum</t>
  </si>
  <si>
    <t>Bibiliothek (Lesesaal, Freihandbereich, Magazin)</t>
  </si>
  <si>
    <t>Turnhalle (ohne Zuschauerbereich)</t>
  </si>
  <si>
    <r>
      <t xml:space="preserve">Einsparung in W
</t>
    </r>
    <r>
      <rPr>
        <b/>
        <sz val="10"/>
        <color indexed="8"/>
        <rFont val="Arial"/>
        <family val="2"/>
      </rPr>
      <t>[automatisch]</t>
    </r>
  </si>
  <si>
    <r>
      <t xml:space="preserve">Einsparung durch </t>
    </r>
    <r>
      <rPr>
        <b/>
        <sz val="10"/>
        <color indexed="8"/>
        <rFont val="Arial"/>
        <family val="2"/>
      </rPr>
      <t>Bestands-</t>
    </r>
    <r>
      <rPr>
        <sz val="10"/>
        <color indexed="8"/>
        <rFont val="Arial"/>
        <family val="2"/>
      </rPr>
      <t>LMS in % ca.</t>
    </r>
  </si>
  <si>
    <r>
      <t xml:space="preserve">Einsparung in %
</t>
    </r>
    <r>
      <rPr>
        <b/>
        <sz val="10"/>
        <color indexed="8"/>
        <rFont val="Arial"/>
        <family val="2"/>
      </rPr>
      <t>[automatisch]</t>
    </r>
  </si>
  <si>
    <r>
      <t xml:space="preserve">zusätzliche LMS </t>
    </r>
    <r>
      <rPr>
        <b/>
        <sz val="10"/>
        <color indexed="60"/>
        <rFont val="Arial"/>
        <family val="2"/>
      </rPr>
      <t>Präsenz</t>
    </r>
    <r>
      <rPr>
        <sz val="10"/>
        <color indexed="8"/>
        <rFont val="Arial"/>
        <family val="2"/>
      </rPr>
      <t xml:space="preserve"> Einsparung in % ca.
</t>
    </r>
    <r>
      <rPr>
        <b/>
        <sz val="10"/>
        <color indexed="60"/>
        <rFont val="Arial"/>
        <family val="2"/>
      </rPr>
      <t>*5*</t>
    </r>
  </si>
  <si>
    <r>
      <t xml:space="preserve">zusätzliche LMS </t>
    </r>
    <r>
      <rPr>
        <b/>
        <sz val="10"/>
        <color indexed="60"/>
        <rFont val="Arial"/>
        <family val="2"/>
      </rPr>
      <t>Tageslicht</t>
    </r>
    <r>
      <rPr>
        <sz val="10"/>
        <color indexed="8"/>
        <rFont val="Arial"/>
        <family val="2"/>
      </rPr>
      <t xml:space="preserve"> Einsparung in % ca.
</t>
    </r>
    <r>
      <rPr>
        <b/>
        <sz val="10"/>
        <color indexed="60"/>
        <rFont val="Arial"/>
        <family val="2"/>
      </rPr>
      <t>*5*</t>
    </r>
  </si>
  <si>
    <r>
      <t xml:space="preserve">TRILUX LED Leuchtentyp 
</t>
    </r>
    <r>
      <rPr>
        <b/>
        <sz val="10"/>
        <color indexed="8"/>
        <rFont val="Arial"/>
        <family val="2"/>
      </rPr>
      <t>[Doppelklick für Leuchtensuche]</t>
    </r>
  </si>
  <si>
    <r>
      <t xml:space="preserve">Vorschalt-gerätetyp
</t>
    </r>
    <r>
      <rPr>
        <b/>
        <sz val="10"/>
        <color indexed="57"/>
        <rFont val="Arial"/>
        <family val="2"/>
      </rPr>
      <t>[Dropdown-Menü]</t>
    </r>
    <r>
      <rPr>
        <sz val="10"/>
        <color indexed="8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*4*</t>
    </r>
  </si>
  <si>
    <r>
      <t xml:space="preserve">Lampen-leistung
pro Lampe
in W
</t>
    </r>
    <r>
      <rPr>
        <b/>
        <sz val="10"/>
        <color indexed="57"/>
        <rFont val="Arial"/>
        <family val="2"/>
      </rPr>
      <t>[Dropdown-Menü]</t>
    </r>
  </si>
  <si>
    <r>
      <t xml:space="preserve">Lampentyp
</t>
    </r>
    <r>
      <rPr>
        <b/>
        <sz val="10"/>
        <color indexed="57"/>
        <rFont val="Arial"/>
        <family val="2"/>
      </rPr>
      <t>[Dropdown-Menü]</t>
    </r>
    <r>
      <rPr>
        <sz val="10"/>
        <color indexed="8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*3*</t>
    </r>
  </si>
  <si>
    <r>
      <t xml:space="preserve">TK
</t>
    </r>
    <r>
      <rPr>
        <b/>
        <sz val="10"/>
        <color indexed="8"/>
        <rFont val="Arial"/>
        <family val="2"/>
      </rPr>
      <t>[automatisch]</t>
    </r>
  </si>
  <si>
    <r>
      <t xml:space="preserve">System-leistung pro Leuchte
in W
</t>
    </r>
    <r>
      <rPr>
        <b/>
        <sz val="10"/>
        <color indexed="8"/>
        <rFont val="Arial"/>
        <family val="2"/>
      </rPr>
      <t>[automatisch]</t>
    </r>
  </si>
  <si>
    <r>
      <t xml:space="preserve">Beleuchtungs-stärke in lx 
</t>
    </r>
    <r>
      <rPr>
        <b/>
        <sz val="10"/>
        <color indexed="8"/>
        <rFont val="Arial"/>
        <family val="2"/>
      </rPr>
      <t>[für Wirkungsgradberechnung]</t>
    </r>
  </si>
  <si>
    <r>
      <t xml:space="preserve">Wartungs-faktor
</t>
    </r>
    <r>
      <rPr>
        <b/>
        <sz val="10"/>
        <color indexed="8"/>
        <rFont val="Arial"/>
        <family val="2"/>
      </rPr>
      <t xml:space="preserve"> [für Wirkungsgradberechnung]</t>
    </r>
  </si>
  <si>
    <r>
      <t xml:space="preserve">Nutzebenen-höhe in m
</t>
    </r>
    <r>
      <rPr>
        <b/>
        <sz val="10"/>
        <color indexed="8"/>
        <rFont val="Arial"/>
        <family val="2"/>
      </rPr>
      <t xml:space="preserve"> [für Wirkungsgradberechnung]</t>
    </r>
  </si>
  <si>
    <t>Anzahl der Räume des Raumtypes</t>
  </si>
  <si>
    <r>
      <t xml:space="preserve">Raumtyp 
</t>
    </r>
    <r>
      <rPr>
        <b/>
        <sz val="10"/>
        <color indexed="8"/>
        <rFont val="Arial"/>
        <family val="2"/>
      </rPr>
      <t>(mehrere Räume)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*1*</t>
    </r>
  </si>
  <si>
    <r>
      <t xml:space="preserve">Raumfläche (m²)
</t>
    </r>
    <r>
      <rPr>
        <b/>
        <sz val="10"/>
        <color indexed="8"/>
        <rFont val="Arial"/>
        <family val="2"/>
      </rPr>
      <t>aller Räume</t>
    </r>
  </si>
  <si>
    <r>
      <t xml:space="preserve">Anzahl Leuchten pro 
Raumtyp 
</t>
    </r>
    <r>
      <rPr>
        <b/>
        <sz val="10"/>
        <color indexed="8"/>
        <rFont val="Arial"/>
        <family val="2"/>
      </rPr>
      <t>(alle Räume)</t>
    </r>
  </si>
  <si>
    <r>
      <t xml:space="preserve">Anzahl
Leuchten pro </t>
    </r>
    <r>
      <rPr>
        <b/>
        <sz val="10"/>
        <color indexed="8"/>
        <rFont val="Arial"/>
        <family val="2"/>
      </rPr>
      <t xml:space="preserve">Raumtyp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[Default vom Bestand; X für Berechnung]</t>
    </r>
  </si>
  <si>
    <t>Strompreis 
(€/kWh)</t>
  </si>
  <si>
    <r>
      <t xml:space="preserve">Montagekosten
Leuchte 
</t>
    </r>
    <r>
      <rPr>
        <b/>
        <sz val="10"/>
        <color indexed="60"/>
        <rFont val="Arial"/>
        <family val="2"/>
      </rPr>
      <t>*7*</t>
    </r>
  </si>
  <si>
    <t>Montagekosten
LMS
[Default 20% von LMS Preis]</t>
  </si>
  <si>
    <r>
      <rPr>
        <b/>
        <sz val="10"/>
        <color indexed="60"/>
        <rFont val="Arial"/>
        <family val="2"/>
      </rPr>
      <t>*7*</t>
    </r>
    <r>
      <rPr>
        <sz val="10"/>
        <rFont val="Arial"/>
        <family val="2"/>
      </rPr>
      <t xml:space="preserve"> Wenn nicht anders bekannt: Anbauleuchten 38€, Einbauleuchten 45€, Downlight 34€, Sporthallenleuchten 76€</t>
    </r>
  </si>
  <si>
    <t>Nutzungs-
dauer (Jahre)</t>
  </si>
  <si>
    <t>Lampen-Teuerung pro Jahr
(%)</t>
  </si>
  <si>
    <t>Kapitalzins pro Jahr
(%)</t>
  </si>
  <si>
    <t>Strom-
Teuerung pro Jahr
(%)</t>
  </si>
  <si>
    <t>Preis pro Lampe bei
Altanlage</t>
  </si>
  <si>
    <t>Lampen-wechselkosten bei Altanlage</t>
  </si>
  <si>
    <t>Preis eines Starters</t>
  </si>
  <si>
    <t>Förderquote
(%)</t>
  </si>
  <si>
    <t>Lebensdauer TRILUX LED Leuchte (h)</t>
  </si>
  <si>
    <t>Standardwerte:</t>
  </si>
  <si>
    <t>Tageslicht</t>
  </si>
  <si>
    <t>BMU Check</t>
  </si>
  <si>
    <r>
      <t xml:space="preserve">Amortisations-dauer nach BMU (a)
[automatisch]
</t>
    </r>
    <r>
      <rPr>
        <b/>
        <sz val="10"/>
        <color indexed="60"/>
        <rFont val="Arial"/>
        <family val="2"/>
      </rPr>
      <t>&lt;20a !</t>
    </r>
  </si>
  <si>
    <r>
      <t xml:space="preserve">Einsparung in %
</t>
    </r>
    <r>
      <rPr>
        <b/>
        <sz val="10"/>
        <color indexed="8"/>
        <rFont val="Arial"/>
        <family val="2"/>
      </rPr>
      <t xml:space="preserve">[automatisch]
</t>
    </r>
    <r>
      <rPr>
        <b/>
        <sz val="10"/>
        <color indexed="60"/>
        <rFont val="Arial"/>
        <family val="2"/>
      </rPr>
      <t>&gt;50% ! pro Raumtyp</t>
    </r>
  </si>
  <si>
    <t>Nebenflächen (Garderobe, Lager...)</t>
  </si>
  <si>
    <t xml:space="preserve">Deckenausführung (abgehängt, Gipskarton, Beton, Metallkassette, holzgetäfelt, etc.); </t>
  </si>
  <si>
    <t>Anzahl der Betriebs-stunden pro Jahr</t>
  </si>
  <si>
    <t>Montagehöhe der Leuchten (m)</t>
  </si>
  <si>
    <t>Präsenz</t>
  </si>
  <si>
    <t>Name Erfasser/in</t>
  </si>
  <si>
    <t>Mobiltelefon Erfasser/in</t>
  </si>
  <si>
    <t>E-Mail Erfasser/in</t>
  </si>
  <si>
    <t>Unterschrift Erfasser/in</t>
  </si>
  <si>
    <t>Von Erfasser/in auszufüllen und zu veranlassen:</t>
  </si>
  <si>
    <t>Bemerkungen</t>
  </si>
  <si>
    <t>Amortisation</t>
  </si>
  <si>
    <t>Entsorgung Altanlage</t>
  </si>
  <si>
    <t xml:space="preserve">Art des Antragsformulars: </t>
  </si>
  <si>
    <r>
      <t xml:space="preserve">Nutzungsbereich 
</t>
    </r>
    <r>
      <rPr>
        <b/>
        <sz val="10"/>
        <color indexed="8"/>
        <rFont val="Arial"/>
        <family val="2"/>
      </rPr>
      <t>(Hilfe zum Finden der Betriebsstunden und der LMS Standardwerte)</t>
    </r>
  </si>
  <si>
    <t>Fotos mit Nummer 
(bei ein und ausgeschalteter Leuchte)</t>
  </si>
  <si>
    <t>Leistungseinsparung Bestand zu Neuanlage
ohne neues Lichtmanagement</t>
  </si>
  <si>
    <t>Leistungseinsparung Bestand zu Neuanlage
mit neuem Lichtmanagementsytem</t>
  </si>
  <si>
    <r>
      <t xml:space="preserve">zusätzliche LMS
Präsenz &amp; Tageslicht
 Einsparung in %
</t>
    </r>
    <r>
      <rPr>
        <b/>
        <sz val="10"/>
        <color indexed="8"/>
        <rFont val="Arial"/>
        <family val="2"/>
      </rPr>
      <t>[automatisch]</t>
    </r>
    <r>
      <rPr>
        <sz val="10"/>
        <color indexed="8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*6*</t>
    </r>
  </si>
  <si>
    <t>Default:</t>
  </si>
  <si>
    <r>
      <t xml:space="preserve">Lichtmangementsystem
</t>
    </r>
    <r>
      <rPr>
        <b/>
        <sz val="10"/>
        <color indexed="8"/>
        <rFont val="Arial"/>
        <family val="2"/>
      </rPr>
      <t>[Doppelklick für Suche]</t>
    </r>
  </si>
  <si>
    <r>
      <t xml:space="preserve">Anzahl LMS für Raumtyp
</t>
    </r>
    <r>
      <rPr>
        <b/>
        <sz val="10"/>
        <color indexed="8"/>
        <rFont val="Arial"/>
        <family val="2"/>
      </rPr>
      <t>(Default: Anzahl der Räume)</t>
    </r>
  </si>
  <si>
    <r>
      <t xml:space="preserve">Preis einer Leuchte
[Brutto * 0,79]
</t>
    </r>
    <r>
      <rPr>
        <b/>
        <sz val="10"/>
        <color indexed="8"/>
        <rFont val="Arial"/>
        <family val="2"/>
      </rPr>
      <t>[Doppelklick auf Zelle oder hier für Alle]</t>
    </r>
  </si>
  <si>
    <r>
      <t xml:space="preserve">Preis pro LMS
[Brutto * 0,79]
</t>
    </r>
    <r>
      <rPr>
        <b/>
        <sz val="10"/>
        <color indexed="8"/>
        <rFont val="Arial"/>
        <family val="2"/>
      </rPr>
      <t>[automatisch; Addition von Zusatzsensoren per Hand]</t>
    </r>
  </si>
  <si>
    <r>
      <t xml:space="preserve">Gesamt-
Anschluss-
leistung vor LMS in W
</t>
    </r>
    <r>
      <rPr>
        <b/>
        <sz val="10"/>
        <color indexed="8"/>
        <rFont val="Arial"/>
        <family val="2"/>
      </rPr>
      <t>[automatisch]</t>
    </r>
  </si>
  <si>
    <r>
      <t xml:space="preserve">Gesamt-
Anschluss-
leistung nach LMS in W
</t>
    </r>
    <r>
      <rPr>
        <b/>
        <sz val="10"/>
        <color indexed="8"/>
        <rFont val="Arial"/>
        <family val="2"/>
      </rPr>
      <t>[automatisch]</t>
    </r>
  </si>
  <si>
    <r>
      <t xml:space="preserve">Typ und Bauform der Leuchte
</t>
    </r>
    <r>
      <rPr>
        <b/>
        <sz val="10"/>
        <color indexed="60"/>
        <rFont val="Arial"/>
        <family val="2"/>
      </rPr>
      <t>*2*</t>
    </r>
  </si>
  <si>
    <r>
      <rPr>
        <b/>
        <sz val="10"/>
        <color indexed="60"/>
        <rFont val="Arial"/>
        <family val="2"/>
      </rPr>
      <t>*2*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Typ </t>
    </r>
    <r>
      <rPr>
        <sz val="10"/>
        <color indexed="8"/>
        <rFont val="Arial"/>
        <family val="2"/>
      </rPr>
      <t>z.B. Spiegelraster, weißes Raster, opale Wanne, prismatische Wanne, Indirekt, Direkt-Indirekt, Downlight, etc. / Bauform z.B. quadratisch, lang, rund, etc.</t>
    </r>
  </si>
  <si>
    <t>Gesamt-investion Neuanlage inkl. Förderquote</t>
  </si>
  <si>
    <t>Amortisation (a)</t>
  </si>
  <si>
    <t>Total Profit of Ownership</t>
  </si>
  <si>
    <t>Kosten für Instandsetzung einer Leuchte der Altanlage</t>
  </si>
  <si>
    <r>
      <t xml:space="preserve">mittlere Stromkosten inkl. Teuerung </t>
    </r>
    <r>
      <rPr>
        <b/>
        <sz val="10"/>
        <color indexed="8"/>
        <rFont val="Arial"/>
        <family val="2"/>
      </rPr>
      <t>Altanlage</t>
    </r>
    <r>
      <rPr>
        <sz val="10"/>
        <color indexed="8"/>
        <rFont val="Arial"/>
        <family val="2"/>
      </rPr>
      <t xml:space="preserve"> pro Jahr</t>
    </r>
  </si>
  <si>
    <r>
      <t xml:space="preserve">mittlere Stromkosten inkl. Teuerung </t>
    </r>
    <r>
      <rPr>
        <b/>
        <sz val="10"/>
        <color indexed="8"/>
        <rFont val="Arial"/>
        <family val="2"/>
      </rPr>
      <t xml:space="preserve">Neuanlage </t>
    </r>
    <r>
      <rPr>
        <sz val="10"/>
        <color indexed="8"/>
        <rFont val="Arial"/>
        <family val="2"/>
      </rPr>
      <t>pro Jahr</t>
    </r>
  </si>
  <si>
    <r>
      <t xml:space="preserve">Stromkosten </t>
    </r>
    <r>
      <rPr>
        <b/>
        <sz val="10"/>
        <color indexed="8"/>
        <rFont val="Arial"/>
        <family val="2"/>
      </rPr>
      <t>Altanlage</t>
    </r>
    <r>
      <rPr>
        <sz val="10"/>
        <color indexed="8"/>
        <rFont val="Arial"/>
        <family val="2"/>
      </rPr>
      <t xml:space="preserve"> über die Nutzungs-dauer</t>
    </r>
  </si>
  <si>
    <r>
      <t xml:space="preserve">Stromkosten </t>
    </r>
    <r>
      <rPr>
        <b/>
        <sz val="10"/>
        <color indexed="8"/>
        <rFont val="Arial"/>
        <family val="2"/>
      </rPr>
      <t>Neuanlage</t>
    </r>
    <r>
      <rPr>
        <sz val="10"/>
        <color indexed="8"/>
        <rFont val="Arial"/>
        <family val="2"/>
      </rPr>
      <t xml:space="preserve"> über die Nutzungs-dauer</t>
    </r>
  </si>
  <si>
    <t>Baujahr</t>
  </si>
  <si>
    <t>Zubehörkosten
[Default 5% von Leuchten Preis]</t>
  </si>
  <si>
    <t>Parkhaus für öffentliche Nutzung</t>
  </si>
  <si>
    <r>
      <t>Fördermittel-effizienz (€/t</t>
    </r>
    <r>
      <rPr>
        <b/>
        <vertAlign val="subscript"/>
        <sz val="10"/>
        <color indexed="8"/>
        <rFont val="Arial"/>
        <family val="2"/>
      </rPr>
      <t>CO2</t>
    </r>
    <r>
      <rPr>
        <b/>
        <sz val="10"/>
        <color indexed="8"/>
        <rFont val="Arial"/>
        <family val="2"/>
      </rPr>
      <t>)
[automatisch]</t>
    </r>
  </si>
  <si>
    <t>KSJSS-Beleuchtung</t>
  </si>
  <si>
    <r>
      <rPr>
        <b/>
        <sz val="10"/>
        <color indexed="8"/>
        <rFont val="Arial"/>
        <family val="2"/>
      </rPr>
      <t>Hinweis</t>
    </r>
    <r>
      <rPr>
        <sz val="10"/>
        <color indexed="8"/>
        <rFont val="Arial"/>
        <family val="2"/>
      </rPr>
      <t xml:space="preserve">: Bitte bei </t>
    </r>
    <r>
      <rPr>
        <u val="single"/>
        <sz val="10"/>
        <color indexed="8"/>
        <rFont val="Arial"/>
        <family val="2"/>
      </rPr>
      <t>Art des Antragsformulars</t>
    </r>
    <r>
      <rPr>
        <sz val="10"/>
        <color indexed="8"/>
        <rFont val="Arial"/>
        <family val="2"/>
      </rPr>
      <t xml:space="preserve"> zwischen </t>
    </r>
    <r>
      <rPr>
        <b/>
        <sz val="10"/>
        <color indexed="8"/>
        <rFont val="Arial"/>
        <family val="2"/>
      </rPr>
      <t>KSJSS-Beleuchtung</t>
    </r>
    <r>
      <rPr>
        <sz val="10"/>
        <color indexed="8"/>
        <rFont val="Arial"/>
        <family val="2"/>
      </rPr>
      <t xml:space="preserve"> (Kindertagesstätten-Schulen-Jugendfreizeiteinrichtungen-Sportstätten-Schwimmhallen) und </t>
    </r>
    <r>
      <rPr>
        <b/>
        <sz val="10"/>
        <color indexed="8"/>
        <rFont val="Arial"/>
        <family val="2"/>
      </rPr>
      <t>Innen- und Hallenbeleuchtung</t>
    </r>
    <r>
      <rPr>
        <sz val="10"/>
        <color indexed="8"/>
        <rFont val="Arial"/>
        <family val="2"/>
      </rPr>
      <t xml:space="preserve"> wählen!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</si>
</sst>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0.5]##.##%;[Red]##.##%"/>
    <numFmt numFmtId="165" formatCode="#,##0.00\ &quot;€&quot;"/>
    <numFmt numFmtId="166" formatCode="#,##0.0"/>
    <numFmt numFmtId="167" formatCode="00000"/>
    <numFmt numFmtId="168" formatCode="h:mm;@"/>
    <numFmt numFmtId="169" formatCode="[&lt;125]##.##;[Red]##.##"/>
    <numFmt numFmtId="170" formatCode="[&lt;20]##.##;[Red]##.##"/>
    <numFmt numFmtId="171" formatCode="#"/>
    <numFmt numFmtId="172" formatCode="#,##0.00_ ;[Red]\-#,##0.00\ "/>
    <numFmt numFmtId="173" formatCode="#,##0.00_ ;\-#,##0.00\ "/>
    <numFmt numFmtId="174" formatCode="[&lt;106.78]##0.##00;[Red]##0.##00"/>
    <numFmt numFmtId="175" formatCode="[&lt;20]##0.##;[Red]##0.##"/>
    <numFmt numFmtId="176" formatCode="[&lt;106.78]##0.##;[Red]##0.##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/>
      <right style="medium"/>
      <top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17">
    <xf numFmtId="0" fontId="0" fillId="0" borderId="0" xfId="0" applyFont="1" applyAlignment="1">
      <alignment/>
    </xf>
    <xf numFmtId="3" fontId="2" fillId="0" borderId="0" xfId="51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52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10" fontId="57" fillId="0" borderId="0" xfId="0" applyNumberFormat="1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/>
    </xf>
    <xf numFmtId="10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3" fontId="57" fillId="0" borderId="0" xfId="0" applyNumberFormat="1" applyFont="1" applyAlignment="1">
      <alignment/>
    </xf>
    <xf numFmtId="3" fontId="57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 horizontal="left"/>
    </xf>
    <xf numFmtId="3" fontId="57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top"/>
    </xf>
    <xf numFmtId="3" fontId="57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35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3" fontId="58" fillId="0" borderId="11" xfId="0" applyNumberFormat="1" applyFont="1" applyBorder="1" applyAlignment="1">
      <alignment horizontal="center"/>
    </xf>
    <xf numFmtId="3" fontId="58" fillId="0" borderId="0" xfId="0" applyNumberFormat="1" applyFont="1" applyAlignment="1">
      <alignment/>
    </xf>
    <xf numFmtId="0" fontId="59" fillId="0" borderId="10" xfId="0" applyFont="1" applyBorder="1" applyAlignment="1" quotePrefix="1">
      <alignment horizontal="left"/>
    </xf>
    <xf numFmtId="3" fontId="58" fillId="10" borderId="12" xfId="0" applyNumberFormat="1" applyFont="1" applyFill="1" applyBorder="1" applyAlignment="1">
      <alignment horizontal="center"/>
    </xf>
    <xf numFmtId="9" fontId="57" fillId="0" borderId="0" xfId="49" applyFont="1" applyAlignment="1">
      <alignment horizontal="center"/>
    </xf>
    <xf numFmtId="3" fontId="57" fillId="0" borderId="0" xfId="0" applyNumberFormat="1" applyFont="1" applyAlignment="1">
      <alignment horizontal="center"/>
    </xf>
    <xf numFmtId="10" fontId="58" fillId="0" borderId="11" xfId="0" applyNumberFormat="1" applyFont="1" applyFill="1" applyBorder="1" applyAlignment="1">
      <alignment horizontal="center"/>
    </xf>
    <xf numFmtId="3" fontId="59" fillId="15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9" fillId="0" borderId="0" xfId="0" applyFont="1" applyBorder="1" applyAlignment="1" quotePrefix="1">
      <alignment horizontal="left"/>
    </xf>
    <xf numFmtId="3" fontId="58" fillId="0" borderId="11" xfId="0" applyNumberFormat="1" applyFont="1" applyBorder="1" applyAlignment="1">
      <alignment horizontal="left"/>
    </xf>
    <xf numFmtId="0" fontId="59" fillId="36" borderId="14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36" borderId="15" xfId="0" applyFont="1" applyFill="1" applyBorder="1" applyAlignment="1">
      <alignment/>
    </xf>
    <xf numFmtId="0" fontId="61" fillId="36" borderId="16" xfId="0" applyFont="1" applyFill="1" applyBorder="1" applyAlignment="1">
      <alignment/>
    </xf>
    <xf numFmtId="0" fontId="61" fillId="36" borderId="17" xfId="0" applyFont="1" applyFill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9" fillId="36" borderId="15" xfId="0" applyFont="1" applyFill="1" applyBorder="1" applyAlignment="1">
      <alignment vertical="center"/>
    </xf>
    <xf numFmtId="0" fontId="58" fillId="36" borderId="16" xfId="0" applyFont="1" applyFill="1" applyBorder="1" applyAlignment="1">
      <alignment vertical="center"/>
    </xf>
    <xf numFmtId="0" fontId="59" fillId="36" borderId="18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center"/>
    </xf>
    <xf numFmtId="0" fontId="58" fillId="36" borderId="18" xfId="0" applyFont="1" applyFill="1" applyBorder="1" applyAlignment="1">
      <alignment vertical="center"/>
    </xf>
    <xf numFmtId="0" fontId="58" fillId="36" borderId="19" xfId="0" applyFont="1" applyFill="1" applyBorder="1" applyAlignment="1">
      <alignment vertical="center"/>
    </xf>
    <xf numFmtId="0" fontId="58" fillId="36" borderId="11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36" borderId="15" xfId="0" applyFont="1" applyFill="1" applyBorder="1" applyAlignment="1">
      <alignment vertical="center"/>
    </xf>
    <xf numFmtId="0" fontId="57" fillId="0" borderId="11" xfId="0" applyFont="1" applyBorder="1" applyAlignment="1">
      <alignment/>
    </xf>
    <xf numFmtId="3" fontId="57" fillId="37" borderId="14" xfId="0" applyNumberFormat="1" applyFont="1" applyFill="1" applyBorder="1" applyAlignment="1">
      <alignment horizontal="center" vertical="center"/>
    </xf>
    <xf numFmtId="3" fontId="57" fillId="10" borderId="20" xfId="0" applyNumberFormat="1" applyFont="1" applyFill="1" applyBorder="1" applyAlignment="1">
      <alignment horizontal="center" vertical="center"/>
    </xf>
    <xf numFmtId="3" fontId="57" fillId="0" borderId="0" xfId="0" applyNumberFormat="1" applyFont="1" applyAlignment="1">
      <alignment vertical="center"/>
    </xf>
    <xf numFmtId="3" fontId="57" fillId="10" borderId="14" xfId="0" applyNumberFormat="1" applyFont="1" applyFill="1" applyBorder="1" applyAlignment="1">
      <alignment horizontal="center" vertical="center"/>
    </xf>
    <xf numFmtId="3" fontId="57" fillId="10" borderId="21" xfId="0" applyNumberFormat="1" applyFont="1" applyFill="1" applyBorder="1" applyAlignment="1">
      <alignment horizontal="center" vertical="center"/>
    </xf>
    <xf numFmtId="43" fontId="57" fillId="0" borderId="0" xfId="46" applyFont="1" applyAlignment="1">
      <alignment horizontal="center"/>
    </xf>
    <xf numFmtId="0" fontId="63" fillId="0" borderId="0" xfId="52" applyFont="1" applyAlignment="1">
      <alignment horizontal="center"/>
      <protection/>
    </xf>
    <xf numFmtId="0" fontId="61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10" fontId="57" fillId="0" borderId="0" xfId="0" applyNumberFormat="1" applyFont="1" applyAlignment="1">
      <alignment horizontal="left"/>
    </xf>
    <xf numFmtId="10" fontId="64" fillId="0" borderId="0" xfId="0" applyNumberFormat="1" applyFont="1" applyAlignment="1">
      <alignment horizontal="left"/>
    </xf>
    <xf numFmtId="10" fontId="64" fillId="0" borderId="0" xfId="0" applyNumberFormat="1" applyFont="1" applyAlignment="1">
      <alignment horizontal="center"/>
    </xf>
    <xf numFmtId="43" fontId="64" fillId="0" borderId="0" xfId="46" applyFont="1" applyAlignment="1">
      <alignment horizontal="center"/>
    </xf>
    <xf numFmtId="10" fontId="64" fillId="0" borderId="0" xfId="0" applyNumberFormat="1" applyFont="1" applyBorder="1" applyAlignment="1">
      <alignment horizontal="center"/>
    </xf>
    <xf numFmtId="10" fontId="57" fillId="0" borderId="0" xfId="49" applyNumberFormat="1" applyFont="1" applyAlignment="1">
      <alignment horizontal="center"/>
    </xf>
    <xf numFmtId="4" fontId="57" fillId="0" borderId="0" xfId="0" applyNumberFormat="1" applyFont="1" applyAlignment="1">
      <alignment vertical="center"/>
    </xf>
    <xf numFmtId="10" fontId="57" fillId="10" borderId="20" xfId="0" applyNumberFormat="1" applyFont="1" applyFill="1" applyBorder="1" applyAlignment="1">
      <alignment horizontal="center" vertical="center"/>
    </xf>
    <xf numFmtId="10" fontId="57" fillId="10" borderId="14" xfId="0" applyNumberFormat="1" applyFont="1" applyFill="1" applyBorder="1" applyAlignment="1">
      <alignment horizontal="center" vertical="center"/>
    </xf>
    <xf numFmtId="10" fontId="57" fillId="10" borderId="21" xfId="0" applyNumberFormat="1" applyFont="1" applyFill="1" applyBorder="1" applyAlignment="1">
      <alignment horizontal="center" vertical="center"/>
    </xf>
    <xf numFmtId="10" fontId="59" fillId="10" borderId="13" xfId="0" applyNumberFormat="1" applyFont="1" applyFill="1" applyBorder="1" applyAlignment="1">
      <alignment horizontal="center"/>
    </xf>
    <xf numFmtId="3" fontId="57" fillId="37" borderId="21" xfId="0" applyNumberFormat="1" applyFont="1" applyFill="1" applyBorder="1" applyAlignment="1">
      <alignment horizontal="center" vertical="center"/>
    </xf>
    <xf numFmtId="3" fontId="57" fillId="12" borderId="21" xfId="0" applyNumberFormat="1" applyFont="1" applyFill="1" applyBorder="1" applyAlignment="1">
      <alignment horizontal="center" vertical="center"/>
    </xf>
    <xf numFmtId="3" fontId="57" fillId="12" borderId="14" xfId="0" applyNumberFormat="1" applyFont="1" applyFill="1" applyBorder="1" applyAlignment="1">
      <alignment horizontal="center" vertical="center"/>
    </xf>
    <xf numFmtId="0" fontId="58" fillId="0" borderId="22" xfId="0" applyFont="1" applyBorder="1" applyAlignment="1" applyProtection="1">
      <alignment horizontal="left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167" fontId="58" fillId="0" borderId="23" xfId="0" applyNumberFormat="1" applyFont="1" applyBorder="1" applyAlignment="1" applyProtection="1">
      <alignment horizontal="left" vertical="center"/>
      <protection locked="0"/>
    </xf>
    <xf numFmtId="14" fontId="58" fillId="0" borderId="23" xfId="0" applyNumberFormat="1" applyFont="1" applyBorder="1" applyAlignment="1" applyProtection="1">
      <alignment horizontal="left" vertical="center"/>
      <protection locked="0"/>
    </xf>
    <xf numFmtId="168" fontId="58" fillId="0" borderId="23" xfId="0" applyNumberFormat="1" applyFont="1" applyBorder="1" applyAlignment="1" applyProtection="1">
      <alignment horizontal="left" vertical="center"/>
      <protection locked="0"/>
    </xf>
    <xf numFmtId="0" fontId="58" fillId="0" borderId="24" xfId="0" applyFont="1" applyBorder="1" applyAlignment="1" applyProtection="1">
      <alignment horizontal="left" vertical="center"/>
      <protection locked="0"/>
    </xf>
    <xf numFmtId="0" fontId="58" fillId="0" borderId="22" xfId="0" applyFont="1" applyBorder="1" applyAlignment="1" applyProtection="1">
      <alignment vertical="center"/>
      <protection locked="0"/>
    </xf>
    <xf numFmtId="0" fontId="58" fillId="0" borderId="23" xfId="0" applyFont="1" applyBorder="1" applyAlignment="1" applyProtection="1">
      <alignment vertical="center"/>
      <protection locked="0"/>
    </xf>
    <xf numFmtId="0" fontId="58" fillId="0" borderId="24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 locked="0"/>
    </xf>
    <xf numFmtId="0" fontId="61" fillId="0" borderId="25" xfId="0" applyFont="1" applyBorder="1" applyAlignment="1" applyProtection="1">
      <alignment/>
      <protection locked="0"/>
    </xf>
    <xf numFmtId="0" fontId="2" fillId="0" borderId="26" xfId="51" applyNumberFormat="1" applyFont="1" applyFill="1" applyBorder="1" applyAlignment="1" applyProtection="1" quotePrefix="1">
      <alignment horizontal="left" vertical="center"/>
      <protection locked="0"/>
    </xf>
    <xf numFmtId="0" fontId="2" fillId="0" borderId="14" xfId="51" applyNumberFormat="1" applyFont="1" applyFill="1" applyBorder="1" applyAlignment="1" applyProtection="1" quotePrefix="1">
      <alignment horizontal="left" vertical="center"/>
      <protection locked="0"/>
    </xf>
    <xf numFmtId="0" fontId="57" fillId="0" borderId="14" xfId="0" applyNumberFormat="1" applyFont="1" applyBorder="1" applyAlignment="1" applyProtection="1">
      <alignment horizontal="left" vertical="center"/>
      <protection locked="0"/>
    </xf>
    <xf numFmtId="0" fontId="57" fillId="0" borderId="14" xfId="0" applyNumberFormat="1" applyFont="1" applyBorder="1" applyAlignment="1" applyProtection="1">
      <alignment horizontal="center" vertical="center"/>
      <protection locked="0"/>
    </xf>
    <xf numFmtId="3" fontId="57" fillId="4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1" xfId="51" applyNumberFormat="1" applyFont="1" applyFill="1" applyBorder="1" applyAlignment="1" applyProtection="1" quotePrefix="1">
      <alignment horizontal="left" vertical="center"/>
      <protection locked="0"/>
    </xf>
    <xf numFmtId="0" fontId="57" fillId="0" borderId="21" xfId="0" applyNumberFormat="1" applyFont="1" applyBorder="1" applyAlignment="1" applyProtection="1">
      <alignment horizontal="left" vertical="center"/>
      <protection locked="0"/>
    </xf>
    <xf numFmtId="0" fontId="57" fillId="0" borderId="21" xfId="0" applyNumberFormat="1" applyFont="1" applyBorder="1" applyAlignment="1" applyProtection="1">
      <alignment horizontal="center" vertical="center"/>
      <protection locked="0"/>
    </xf>
    <xf numFmtId="3" fontId="57" fillId="4" borderId="21" xfId="0" applyNumberFormat="1" applyFont="1" applyFill="1" applyBorder="1" applyAlignment="1" applyProtection="1">
      <alignment horizontal="left" vertical="center"/>
      <protection locked="0"/>
    </xf>
    <xf numFmtId="3" fontId="57" fillId="4" borderId="21" xfId="0" applyNumberFormat="1" applyFont="1" applyFill="1" applyBorder="1" applyAlignment="1" applyProtection="1">
      <alignment horizontal="center" vertical="center"/>
      <protection locked="0"/>
    </xf>
    <xf numFmtId="3" fontId="57" fillId="37" borderId="21" xfId="0" applyNumberFormat="1" applyFont="1" applyFill="1" applyBorder="1" applyAlignment="1" applyProtection="1">
      <alignment horizontal="center" vertical="center"/>
      <protection locked="0"/>
    </xf>
    <xf numFmtId="3" fontId="57" fillId="4" borderId="14" xfId="0" applyNumberFormat="1" applyFont="1" applyFill="1" applyBorder="1" applyAlignment="1" applyProtection="1">
      <alignment horizontal="center" vertical="center"/>
      <protection locked="0"/>
    </xf>
    <xf numFmtId="3" fontId="57" fillId="37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7" xfId="51" applyNumberFormat="1" applyFont="1" applyFill="1" applyBorder="1" applyAlignment="1" applyProtection="1" quotePrefix="1">
      <alignment horizontal="left" vertical="center"/>
      <protection locked="0"/>
    </xf>
    <xf numFmtId="0" fontId="2" fillId="0" borderId="28" xfId="51" applyNumberFormat="1" applyFont="1" applyFill="1" applyBorder="1" applyAlignment="1" applyProtection="1" quotePrefix="1">
      <alignment horizontal="left" vertical="center"/>
      <protection locked="0"/>
    </xf>
    <xf numFmtId="0" fontId="57" fillId="0" borderId="28" xfId="0" applyNumberFormat="1" applyFont="1" applyBorder="1" applyAlignment="1" applyProtection="1">
      <alignment horizontal="left" vertical="center"/>
      <protection locked="0"/>
    </xf>
    <xf numFmtId="0" fontId="57" fillId="0" borderId="28" xfId="0" applyNumberFormat="1" applyFont="1" applyBorder="1" applyAlignment="1" applyProtection="1">
      <alignment horizontal="center" vertical="center"/>
      <protection locked="0"/>
    </xf>
    <xf numFmtId="3" fontId="57" fillId="4" borderId="28" xfId="0" applyNumberFormat="1" applyFont="1" applyFill="1" applyBorder="1" applyAlignment="1" applyProtection="1">
      <alignment horizontal="left" vertical="center"/>
      <protection locked="0"/>
    </xf>
    <xf numFmtId="0" fontId="57" fillId="0" borderId="20" xfId="0" applyNumberFormat="1" applyFont="1" applyBorder="1" applyAlignment="1" applyProtection="1">
      <alignment horizontal="center" vertical="center"/>
      <protection locked="0"/>
    </xf>
    <xf numFmtId="0" fontId="57" fillId="5" borderId="20" xfId="0" applyNumberFormat="1" applyFont="1" applyFill="1" applyBorder="1" applyAlignment="1" applyProtection="1">
      <alignment horizontal="center" vertical="center"/>
      <protection locked="0"/>
    </xf>
    <xf numFmtId="2" fontId="57" fillId="5" borderId="20" xfId="0" applyNumberFormat="1" applyFont="1" applyFill="1" applyBorder="1" applyAlignment="1" applyProtection="1">
      <alignment horizontal="center" vertical="center"/>
      <protection locked="0"/>
    </xf>
    <xf numFmtId="0" fontId="57" fillId="5" borderId="14" xfId="0" applyNumberFormat="1" applyFont="1" applyFill="1" applyBorder="1" applyAlignment="1" applyProtection="1">
      <alignment horizontal="center" vertical="center"/>
      <protection locked="0"/>
    </xf>
    <xf numFmtId="2" fontId="57" fillId="5" borderId="14" xfId="0" applyNumberFormat="1" applyFont="1" applyFill="1" applyBorder="1" applyAlignment="1" applyProtection="1">
      <alignment horizontal="center" vertical="center"/>
      <protection locked="0"/>
    </xf>
    <xf numFmtId="0" fontId="57" fillId="5" borderId="21" xfId="0" applyNumberFormat="1" applyFont="1" applyFill="1" applyBorder="1" applyAlignment="1" applyProtection="1">
      <alignment horizontal="center" vertical="center"/>
      <protection locked="0"/>
    </xf>
    <xf numFmtId="2" fontId="57" fillId="5" borderId="21" xfId="0" applyNumberFormat="1" applyFont="1" applyFill="1" applyBorder="1" applyAlignment="1" applyProtection="1">
      <alignment horizontal="center" vertical="center"/>
      <protection locked="0"/>
    </xf>
    <xf numFmtId="10" fontId="57" fillId="0" borderId="20" xfId="0" applyNumberFormat="1" applyFont="1" applyFill="1" applyBorder="1" applyAlignment="1" applyProtection="1">
      <alignment horizontal="center" vertical="center"/>
      <protection locked="0"/>
    </xf>
    <xf numFmtId="10" fontId="57" fillId="0" borderId="14" xfId="0" applyNumberFormat="1" applyFont="1" applyFill="1" applyBorder="1" applyAlignment="1" applyProtection="1">
      <alignment horizontal="center" vertical="center"/>
      <protection locked="0"/>
    </xf>
    <xf numFmtId="10" fontId="57" fillId="0" borderId="21" xfId="0" applyNumberFormat="1" applyFont="1" applyFill="1" applyBorder="1" applyAlignment="1" applyProtection="1">
      <alignment horizontal="center" vertical="center"/>
      <protection locked="0"/>
    </xf>
    <xf numFmtId="3" fontId="57" fillId="7" borderId="14" xfId="0" applyNumberFormat="1" applyFont="1" applyFill="1" applyBorder="1" applyAlignment="1" applyProtection="1">
      <alignment vertical="center"/>
      <protection locked="0"/>
    </xf>
    <xf numFmtId="3" fontId="57" fillId="7" borderId="20" xfId="0" applyNumberFormat="1" applyFont="1" applyFill="1" applyBorder="1" applyAlignment="1" applyProtection="1">
      <alignment vertical="center"/>
      <protection locked="0"/>
    </xf>
    <xf numFmtId="44" fontId="57" fillId="7" borderId="20" xfId="59" applyFont="1" applyFill="1" applyBorder="1" applyAlignment="1" applyProtection="1">
      <alignment vertical="center"/>
      <protection locked="0"/>
    </xf>
    <xf numFmtId="166" fontId="57" fillId="7" borderId="20" xfId="0" applyNumberFormat="1" applyFont="1" applyFill="1" applyBorder="1" applyAlignment="1" applyProtection="1">
      <alignment vertical="center"/>
      <protection locked="0"/>
    </xf>
    <xf numFmtId="44" fontId="57" fillId="7" borderId="14" xfId="59" applyFont="1" applyFill="1" applyBorder="1" applyAlignment="1" applyProtection="1">
      <alignment vertical="center"/>
      <protection locked="0"/>
    </xf>
    <xf numFmtId="166" fontId="57" fillId="7" borderId="14" xfId="0" applyNumberFormat="1" applyFont="1" applyFill="1" applyBorder="1" applyAlignment="1" applyProtection="1">
      <alignment vertical="center"/>
      <protection locked="0"/>
    </xf>
    <xf numFmtId="3" fontId="57" fillId="7" borderId="21" xfId="0" applyNumberFormat="1" applyFont="1" applyFill="1" applyBorder="1" applyAlignment="1" applyProtection="1">
      <alignment vertical="center"/>
      <protection locked="0"/>
    </xf>
    <xf numFmtId="44" fontId="57" fillId="7" borderId="21" xfId="59" applyFont="1" applyFill="1" applyBorder="1" applyAlignment="1" applyProtection="1">
      <alignment vertical="center"/>
      <protection locked="0"/>
    </xf>
    <xf numFmtId="166" fontId="57" fillId="7" borderId="21" xfId="0" applyNumberFormat="1" applyFont="1" applyFill="1" applyBorder="1" applyAlignment="1" applyProtection="1">
      <alignment vertical="center"/>
      <protection locked="0"/>
    </xf>
    <xf numFmtId="0" fontId="2" fillId="0" borderId="26" xfId="51" applyNumberFormat="1" applyFont="1" applyFill="1" applyBorder="1" applyAlignment="1" applyProtection="1" quotePrefix="1">
      <alignment horizontal="left" vertical="center"/>
      <protection locked="0"/>
    </xf>
    <xf numFmtId="0" fontId="2" fillId="0" borderId="14" xfId="51" applyNumberFormat="1" applyFont="1" applyFill="1" applyBorder="1" applyAlignment="1" applyProtection="1" quotePrefix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51" applyNumberFormat="1" applyFont="1" applyFill="1" applyBorder="1" applyAlignment="1" applyProtection="1">
      <alignment horizontal="left" vertical="center"/>
      <protection locked="0"/>
    </xf>
    <xf numFmtId="0" fontId="58" fillId="36" borderId="29" xfId="0" applyFont="1" applyFill="1" applyBorder="1" applyAlignment="1">
      <alignment vertical="center"/>
    </xf>
    <xf numFmtId="0" fontId="58" fillId="36" borderId="30" xfId="0" applyFont="1" applyFill="1" applyBorder="1" applyAlignment="1">
      <alignment vertical="center"/>
    </xf>
    <xf numFmtId="0" fontId="58" fillId="36" borderId="31" xfId="0" applyFont="1" applyFill="1" applyBorder="1" applyAlignment="1">
      <alignment vertical="center"/>
    </xf>
    <xf numFmtId="4" fontId="57" fillId="7" borderId="20" xfId="0" applyNumberFormat="1" applyFont="1" applyFill="1" applyBorder="1" applyAlignment="1" applyProtection="1">
      <alignment vertical="center"/>
      <protection locked="0"/>
    </xf>
    <xf numFmtId="4" fontId="57" fillId="7" borderId="14" xfId="0" applyNumberFormat="1" applyFont="1" applyFill="1" applyBorder="1" applyAlignment="1" applyProtection="1">
      <alignment vertical="center"/>
      <protection locked="0"/>
    </xf>
    <xf numFmtId="4" fontId="57" fillId="7" borderId="21" xfId="0" applyNumberFormat="1" applyFont="1" applyFill="1" applyBorder="1" applyAlignment="1" applyProtection="1">
      <alignment vertical="center"/>
      <protection locked="0"/>
    </xf>
    <xf numFmtId="0" fontId="2" fillId="0" borderId="32" xfId="51" applyNumberFormat="1" applyFont="1" applyFill="1" applyBorder="1" applyAlignment="1" applyProtection="1" quotePrefix="1">
      <alignment horizontal="left" vertical="center"/>
      <protection locked="0"/>
    </xf>
    <xf numFmtId="0" fontId="2" fillId="0" borderId="20" xfId="51" applyNumberFormat="1" applyFont="1" applyFill="1" applyBorder="1" applyAlignment="1" applyProtection="1" quotePrefix="1">
      <alignment horizontal="left" vertical="center"/>
      <protection locked="0"/>
    </xf>
    <xf numFmtId="0" fontId="57" fillId="0" borderId="20" xfId="0" applyNumberFormat="1" applyFont="1" applyBorder="1" applyAlignment="1" applyProtection="1">
      <alignment horizontal="left" vertical="center"/>
      <protection locked="0"/>
    </xf>
    <xf numFmtId="3" fontId="57" fillId="4" borderId="20" xfId="0" applyNumberFormat="1" applyFont="1" applyFill="1" applyBorder="1" applyAlignment="1" applyProtection="1">
      <alignment horizontal="left" vertical="center"/>
      <protection locked="0"/>
    </xf>
    <xf numFmtId="3" fontId="57" fillId="4" borderId="20" xfId="0" applyNumberFormat="1" applyFont="1" applyFill="1" applyBorder="1" applyAlignment="1" applyProtection="1">
      <alignment horizontal="center" vertical="center"/>
      <protection locked="0"/>
    </xf>
    <xf numFmtId="3" fontId="57" fillId="37" borderId="20" xfId="0" applyNumberFormat="1" applyFont="1" applyFill="1" applyBorder="1" applyAlignment="1" applyProtection="1">
      <alignment horizontal="center" vertical="center"/>
      <protection locked="0"/>
    </xf>
    <xf numFmtId="3" fontId="57" fillId="37" borderId="20" xfId="0" applyNumberFormat="1" applyFont="1" applyFill="1" applyBorder="1" applyAlignment="1">
      <alignment horizontal="center" vertical="center"/>
    </xf>
    <xf numFmtId="3" fontId="57" fillId="12" borderId="20" xfId="0" applyNumberFormat="1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/>
    </xf>
    <xf numFmtId="3" fontId="58" fillId="12" borderId="34" xfId="0" applyNumberFormat="1" applyFont="1" applyFill="1" applyBorder="1" applyAlignment="1">
      <alignment horizontal="center"/>
    </xf>
    <xf numFmtId="164" fontId="59" fillId="12" borderId="13" xfId="0" applyNumberFormat="1" applyFont="1" applyFill="1" applyBorder="1" applyAlignment="1">
      <alignment horizontal="center"/>
    </xf>
    <xf numFmtId="3" fontId="57" fillId="4" borderId="28" xfId="0" applyNumberFormat="1" applyFont="1" applyFill="1" applyBorder="1" applyAlignment="1" applyProtection="1">
      <alignment horizontal="center" vertical="center"/>
      <protection locked="0"/>
    </xf>
    <xf numFmtId="3" fontId="57" fillId="37" borderId="28" xfId="0" applyNumberFormat="1" applyFont="1" applyFill="1" applyBorder="1" applyAlignment="1" applyProtection="1">
      <alignment horizontal="center" vertical="center"/>
      <protection locked="0"/>
    </xf>
    <xf numFmtId="3" fontId="57" fillId="37" borderId="28" xfId="0" applyNumberFormat="1" applyFont="1" applyFill="1" applyBorder="1" applyAlignment="1">
      <alignment horizontal="center" vertical="center"/>
    </xf>
    <xf numFmtId="0" fontId="57" fillId="5" borderId="28" xfId="0" applyNumberFormat="1" applyFont="1" applyFill="1" applyBorder="1" applyAlignment="1" applyProtection="1">
      <alignment horizontal="center" vertical="center"/>
      <protection locked="0"/>
    </xf>
    <xf numFmtId="2" fontId="57" fillId="5" borderId="28" xfId="0" applyNumberFormat="1" applyFont="1" applyFill="1" applyBorder="1" applyAlignment="1" applyProtection="1">
      <alignment horizontal="center" vertical="center"/>
      <protection locked="0"/>
    </xf>
    <xf numFmtId="3" fontId="57" fillId="12" borderId="28" xfId="0" applyNumberFormat="1" applyFont="1" applyFill="1" applyBorder="1" applyAlignment="1">
      <alignment horizontal="center" vertical="center"/>
    </xf>
    <xf numFmtId="10" fontId="57" fillId="0" borderId="28" xfId="0" applyNumberFormat="1" applyFont="1" applyFill="1" applyBorder="1" applyAlignment="1" applyProtection="1">
      <alignment horizontal="center" vertical="center"/>
      <protection locked="0"/>
    </xf>
    <xf numFmtId="10" fontId="57" fillId="10" borderId="28" xfId="0" applyNumberFormat="1" applyFont="1" applyFill="1" applyBorder="1" applyAlignment="1">
      <alignment horizontal="center" vertical="center"/>
    </xf>
    <xf numFmtId="3" fontId="57" fillId="10" borderId="28" xfId="0" applyNumberFormat="1" applyFont="1" applyFill="1" applyBorder="1" applyAlignment="1">
      <alignment horizontal="center" vertical="center"/>
    </xf>
    <xf numFmtId="3" fontId="57" fillId="7" borderId="28" xfId="0" applyNumberFormat="1" applyFont="1" applyFill="1" applyBorder="1" applyAlignment="1" applyProtection="1">
      <alignment vertical="center"/>
      <protection locked="0"/>
    </xf>
    <xf numFmtId="44" fontId="57" fillId="7" borderId="28" xfId="59" applyFont="1" applyFill="1" applyBorder="1" applyAlignment="1" applyProtection="1">
      <alignment vertical="center"/>
      <protection locked="0"/>
    </xf>
    <xf numFmtId="4" fontId="57" fillId="7" borderId="28" xfId="0" applyNumberFormat="1" applyFont="1" applyFill="1" applyBorder="1" applyAlignment="1" applyProtection="1">
      <alignment vertical="center"/>
      <protection locked="0"/>
    </xf>
    <xf numFmtId="166" fontId="57" fillId="7" borderId="28" xfId="0" applyNumberFormat="1" applyFont="1" applyFill="1" applyBorder="1" applyAlignment="1" applyProtection="1">
      <alignment vertical="center"/>
      <protection locked="0"/>
    </xf>
    <xf numFmtId="0" fontId="57" fillId="38" borderId="14" xfId="0" applyNumberFormat="1" applyFont="1" applyFill="1" applyBorder="1" applyAlignment="1" applyProtection="1">
      <alignment horizontal="center" vertical="center"/>
      <protection locked="0"/>
    </xf>
    <xf numFmtId="0" fontId="2" fillId="4" borderId="14" xfId="51" applyNumberFormat="1" applyFont="1" applyFill="1" applyBorder="1" applyAlignment="1" applyProtection="1" quotePrefix="1">
      <alignment horizontal="left" vertical="center"/>
      <protection locked="0"/>
    </xf>
    <xf numFmtId="0" fontId="2" fillId="4" borderId="28" xfId="51" applyNumberFormat="1" applyFont="1" applyFill="1" applyBorder="1" applyAlignment="1" applyProtection="1" quotePrefix="1">
      <alignment horizontal="left" vertical="center"/>
      <protection locked="0"/>
    </xf>
    <xf numFmtId="0" fontId="2" fillId="4" borderId="20" xfId="51" applyNumberFormat="1" applyFont="1" applyFill="1" applyBorder="1" applyAlignment="1" applyProtection="1" quotePrefix="1">
      <alignment horizontal="left" vertical="center"/>
      <protection locked="0"/>
    </xf>
    <xf numFmtId="0" fontId="2" fillId="4" borderId="14" xfId="51" applyNumberFormat="1" applyFont="1" applyFill="1" applyBorder="1" applyAlignment="1" applyProtection="1">
      <alignment horizontal="left" vertical="center"/>
      <protection locked="0"/>
    </xf>
    <xf numFmtId="0" fontId="2" fillId="4" borderId="21" xfId="51" applyNumberFormat="1" applyFont="1" applyFill="1" applyBorder="1" applyAlignment="1" applyProtection="1" quotePrefix="1">
      <alignment horizontal="left" vertical="center"/>
      <protection locked="0"/>
    </xf>
    <xf numFmtId="3" fontId="2" fillId="4" borderId="14" xfId="0" applyNumberFormat="1" applyFont="1" applyFill="1" applyBorder="1" applyAlignment="1" applyProtection="1">
      <alignment horizontal="center" vertical="center"/>
      <protection locked="0"/>
    </xf>
    <xf numFmtId="2" fontId="57" fillId="7" borderId="14" xfId="0" applyNumberFormat="1" applyFont="1" applyFill="1" applyBorder="1" applyAlignment="1" applyProtection="1">
      <alignment vertical="center"/>
      <protection locked="0"/>
    </xf>
    <xf numFmtId="2" fontId="57" fillId="7" borderId="28" xfId="0" applyNumberFormat="1" applyFont="1" applyFill="1" applyBorder="1" applyAlignment="1" applyProtection="1">
      <alignment vertical="center"/>
      <protection locked="0"/>
    </xf>
    <xf numFmtId="2" fontId="57" fillId="7" borderId="20" xfId="0" applyNumberFormat="1" applyFont="1" applyFill="1" applyBorder="1" applyAlignment="1" applyProtection="1">
      <alignment vertical="center"/>
      <protection locked="0"/>
    </xf>
    <xf numFmtId="2" fontId="57" fillId="7" borderId="21" xfId="0" applyNumberFormat="1" applyFont="1" applyFill="1" applyBorder="1" applyAlignment="1" applyProtection="1">
      <alignment vertical="center"/>
      <protection locked="0"/>
    </xf>
    <xf numFmtId="9" fontId="16" fillId="37" borderId="0" xfId="49" applyFont="1" applyFill="1" applyAlignment="1">
      <alignment horizontal="center"/>
    </xf>
    <xf numFmtId="2" fontId="16" fillId="37" borderId="0" xfId="0" applyNumberFormat="1" applyFont="1" applyFill="1" applyAlignment="1">
      <alignment horizontal="center"/>
    </xf>
    <xf numFmtId="3" fontId="57" fillId="0" borderId="14" xfId="0" applyNumberFormat="1" applyFont="1" applyBorder="1" applyAlignment="1" applyProtection="1">
      <alignment horizontal="center" vertical="center"/>
      <protection locked="0"/>
    </xf>
    <xf numFmtId="1" fontId="57" fillId="7" borderId="14" xfId="0" applyNumberFormat="1" applyFont="1" applyFill="1" applyBorder="1" applyAlignment="1" applyProtection="1">
      <alignment vertical="center"/>
      <protection locked="0"/>
    </xf>
    <xf numFmtId="1" fontId="57" fillId="7" borderId="28" xfId="0" applyNumberFormat="1" applyFont="1" applyFill="1" applyBorder="1" applyAlignment="1" applyProtection="1">
      <alignment vertical="center"/>
      <protection locked="0"/>
    </xf>
    <xf numFmtId="1" fontId="57" fillId="7" borderId="20" xfId="0" applyNumberFormat="1" applyFont="1" applyFill="1" applyBorder="1" applyAlignment="1" applyProtection="1">
      <alignment vertical="center"/>
      <protection locked="0"/>
    </xf>
    <xf numFmtId="1" fontId="57" fillId="7" borderId="21" xfId="0" applyNumberFormat="1" applyFont="1" applyFill="1" applyBorder="1" applyAlignment="1" applyProtection="1">
      <alignment vertical="center"/>
      <protection locked="0"/>
    </xf>
    <xf numFmtId="3" fontId="57" fillId="7" borderId="14" xfId="0" applyNumberFormat="1" applyFont="1" applyFill="1" applyBorder="1" applyAlignment="1" applyProtection="1" quotePrefix="1">
      <alignment vertical="center"/>
      <protection locked="0"/>
    </xf>
    <xf numFmtId="4" fontId="57" fillId="13" borderId="14" xfId="0" applyNumberFormat="1" applyFont="1" applyFill="1" applyBorder="1" applyAlignment="1" applyProtection="1">
      <alignment vertical="center"/>
      <protection locked="0"/>
    </xf>
    <xf numFmtId="4" fontId="57" fillId="13" borderId="28" xfId="0" applyNumberFormat="1" applyFont="1" applyFill="1" applyBorder="1" applyAlignment="1" applyProtection="1">
      <alignment vertical="center"/>
      <protection locked="0"/>
    </xf>
    <xf numFmtId="4" fontId="57" fillId="13" borderId="20" xfId="0" applyNumberFormat="1" applyFont="1" applyFill="1" applyBorder="1" applyAlignment="1" applyProtection="1">
      <alignment vertical="center"/>
      <protection locked="0"/>
    </xf>
    <xf numFmtId="4" fontId="57" fillId="13" borderId="21" xfId="0" applyNumberFormat="1" applyFont="1" applyFill="1" applyBorder="1" applyAlignment="1" applyProtection="1">
      <alignment vertical="center"/>
      <protection locked="0"/>
    </xf>
    <xf numFmtId="44" fontId="57" fillId="0" borderId="0" xfId="0" applyNumberFormat="1" applyFont="1" applyAlignment="1">
      <alignment/>
    </xf>
    <xf numFmtId="172" fontId="65" fillId="13" borderId="14" xfId="0" applyNumberFormat="1" applyFont="1" applyFill="1" applyBorder="1" applyAlignment="1" applyProtection="1">
      <alignment vertical="center"/>
      <protection locked="0"/>
    </xf>
    <xf numFmtId="172" fontId="65" fillId="13" borderId="21" xfId="0" applyNumberFormat="1" applyFont="1" applyFill="1" applyBorder="1" applyAlignment="1" applyProtection="1">
      <alignment vertical="center"/>
      <protection locked="0"/>
    </xf>
    <xf numFmtId="173" fontId="57" fillId="0" borderId="0" xfId="0" applyNumberFormat="1" applyFont="1" applyAlignment="1">
      <alignment/>
    </xf>
    <xf numFmtId="0" fontId="2" fillId="39" borderId="14" xfId="51" applyNumberFormat="1" applyFont="1" applyFill="1" applyBorder="1" applyAlignment="1" applyProtection="1" quotePrefix="1">
      <alignment horizontal="left" vertical="center"/>
      <protection locked="0"/>
    </xf>
    <xf numFmtId="0" fontId="2" fillId="39" borderId="28" xfId="51" applyNumberFormat="1" applyFont="1" applyFill="1" applyBorder="1" applyAlignment="1" applyProtection="1" quotePrefix="1">
      <alignment horizontal="left" vertical="center"/>
      <protection locked="0"/>
    </xf>
    <xf numFmtId="0" fontId="2" fillId="39" borderId="20" xfId="51" applyNumberFormat="1" applyFont="1" applyFill="1" applyBorder="1" applyAlignment="1" applyProtection="1" quotePrefix="1">
      <alignment horizontal="left" vertical="center"/>
      <protection locked="0"/>
    </xf>
    <xf numFmtId="0" fontId="2" fillId="39" borderId="14" xfId="51" applyNumberFormat="1" applyFont="1" applyFill="1" applyBorder="1" applyAlignment="1" applyProtection="1" quotePrefix="1">
      <alignment horizontal="left" vertical="center"/>
      <protection locked="0"/>
    </xf>
    <xf numFmtId="0" fontId="2" fillId="39" borderId="21" xfId="51" applyNumberFormat="1" applyFont="1" applyFill="1" applyBorder="1" applyAlignment="1" applyProtection="1" quotePrefix="1">
      <alignment horizontal="left" vertical="center"/>
      <protection locked="0"/>
    </xf>
    <xf numFmtId="2" fontId="57" fillId="0" borderId="0" xfId="0" applyNumberFormat="1" applyFont="1" applyAlignment="1">
      <alignment horizontal="center"/>
    </xf>
    <xf numFmtId="3" fontId="59" fillId="10" borderId="12" xfId="0" applyNumberFormat="1" applyFont="1" applyFill="1" applyBorder="1" applyAlignment="1">
      <alignment horizontal="center"/>
    </xf>
    <xf numFmtId="3" fontId="58" fillId="0" borderId="0" xfId="0" applyNumberFormat="1" applyFont="1" applyBorder="1" applyAlignment="1">
      <alignment/>
    </xf>
    <xf numFmtId="3" fontId="57" fillId="0" borderId="20" xfId="0" applyNumberFormat="1" applyFont="1" applyBorder="1" applyAlignment="1" applyProtection="1">
      <alignment horizontal="center" vertical="center"/>
      <protection locked="0"/>
    </xf>
    <xf numFmtId="3" fontId="57" fillId="0" borderId="0" xfId="0" applyNumberFormat="1" applyFont="1" applyFill="1" applyAlignment="1">
      <alignment vertical="center"/>
    </xf>
    <xf numFmtId="0" fontId="2" fillId="40" borderId="14" xfId="51" applyNumberFormat="1" applyFont="1" applyFill="1" applyBorder="1" applyAlignment="1" applyProtection="1" quotePrefix="1">
      <alignment horizontal="left" vertical="center"/>
      <protection locked="0"/>
    </xf>
    <xf numFmtId="3" fontId="57" fillId="40" borderId="14" xfId="0" applyNumberFormat="1" applyFont="1" applyFill="1" applyBorder="1" applyAlignment="1" applyProtection="1">
      <alignment horizontal="center" vertical="center"/>
      <protection locked="0"/>
    </xf>
    <xf numFmtId="3" fontId="57" fillId="40" borderId="14" xfId="0" applyNumberFormat="1" applyFont="1" applyFill="1" applyBorder="1" applyAlignment="1" applyProtection="1">
      <alignment horizontal="left" vertical="center"/>
      <protection locked="0"/>
    </xf>
    <xf numFmtId="3" fontId="57" fillId="41" borderId="14" xfId="0" applyNumberFormat="1" applyFont="1" applyFill="1" applyBorder="1" applyAlignment="1" applyProtection="1">
      <alignment horizontal="center" vertical="center"/>
      <protection locked="0"/>
    </xf>
    <xf numFmtId="3" fontId="57" fillId="41" borderId="14" xfId="0" applyNumberFormat="1" applyFont="1" applyFill="1" applyBorder="1" applyAlignment="1">
      <alignment horizontal="center" vertical="center"/>
    </xf>
    <xf numFmtId="2" fontId="57" fillId="38" borderId="14" xfId="0" applyNumberFormat="1" applyFont="1" applyFill="1" applyBorder="1" applyAlignment="1" applyProtection="1">
      <alignment horizontal="center" vertical="center"/>
      <protection locked="0"/>
    </xf>
    <xf numFmtId="2" fontId="57" fillId="42" borderId="14" xfId="0" applyNumberFormat="1" applyFont="1" applyFill="1" applyBorder="1" applyAlignment="1" applyProtection="1">
      <alignment vertical="center"/>
      <protection locked="0"/>
    </xf>
    <xf numFmtId="3" fontId="57" fillId="42" borderId="14" xfId="0" applyNumberFormat="1" applyFont="1" applyFill="1" applyBorder="1" applyAlignment="1" applyProtection="1">
      <alignment vertical="center"/>
      <protection locked="0"/>
    </xf>
    <xf numFmtId="1" fontId="57" fillId="42" borderId="14" xfId="0" applyNumberFormat="1" applyFont="1" applyFill="1" applyBorder="1" applyAlignment="1" applyProtection="1">
      <alignment vertical="center"/>
      <protection locked="0"/>
    </xf>
    <xf numFmtId="44" fontId="57" fillId="42" borderId="14" xfId="59" applyFont="1" applyFill="1" applyBorder="1" applyAlignment="1" applyProtection="1">
      <alignment vertical="center"/>
      <protection locked="0"/>
    </xf>
    <xf numFmtId="4" fontId="57" fillId="42" borderId="14" xfId="0" applyNumberFormat="1" applyFont="1" applyFill="1" applyBorder="1" applyAlignment="1" applyProtection="1">
      <alignment vertical="center"/>
      <protection locked="0"/>
    </xf>
    <xf numFmtId="166" fontId="57" fillId="42" borderId="14" xfId="0" applyNumberFormat="1" applyFont="1" applyFill="1" applyBorder="1" applyAlignment="1" applyProtection="1">
      <alignment vertical="center"/>
      <protection locked="0"/>
    </xf>
    <xf numFmtId="0" fontId="2" fillId="0" borderId="32" xfId="51" applyNumberFormat="1" applyFont="1" applyFill="1" applyBorder="1" applyAlignment="1" applyProtection="1">
      <alignment horizontal="left" vertical="center"/>
      <protection locked="0"/>
    </xf>
    <xf numFmtId="0" fontId="2" fillId="0" borderId="20" xfId="51" applyNumberFormat="1" applyFont="1" applyFill="1" applyBorder="1" applyAlignment="1" applyProtection="1">
      <alignment horizontal="left" vertical="center"/>
      <protection locked="0"/>
    </xf>
    <xf numFmtId="0" fontId="2" fillId="4" borderId="20" xfId="51" applyNumberFormat="1" applyFont="1" applyFill="1" applyBorder="1" applyAlignment="1" applyProtection="1">
      <alignment horizontal="left" vertical="center"/>
      <protection locked="0"/>
    </xf>
    <xf numFmtId="0" fontId="57" fillId="38" borderId="20" xfId="0" applyNumberFormat="1" applyFont="1" applyFill="1" applyBorder="1" applyAlignment="1" applyProtection="1">
      <alignment horizontal="center" vertical="center"/>
      <protection locked="0"/>
    </xf>
    <xf numFmtId="3" fontId="57" fillId="7" borderId="20" xfId="0" applyNumberFormat="1" applyFont="1" applyFill="1" applyBorder="1" applyAlignment="1" applyProtection="1" quotePrefix="1">
      <alignment vertical="center"/>
      <protection locked="0"/>
    </xf>
    <xf numFmtId="172" fontId="65" fillId="13" borderId="20" xfId="0" applyNumberFormat="1" applyFont="1" applyFill="1" applyBorder="1" applyAlignment="1" applyProtection="1">
      <alignment vertical="center"/>
      <protection locked="0"/>
    </xf>
    <xf numFmtId="0" fontId="57" fillId="0" borderId="15" xfId="0" applyFont="1" applyBorder="1" applyAlignment="1">
      <alignment vertical="top" wrapText="1"/>
    </xf>
    <xf numFmtId="0" fontId="57" fillId="0" borderId="35" xfId="0" applyFont="1" applyBorder="1" applyAlignment="1">
      <alignment vertical="top" wrapText="1"/>
    </xf>
    <xf numFmtId="0" fontId="57" fillId="0" borderId="36" xfId="0" applyFont="1" applyBorder="1" applyAlignment="1">
      <alignment vertical="top"/>
    </xf>
    <xf numFmtId="0" fontId="57" fillId="39" borderId="36" xfId="0" applyFont="1" applyFill="1" applyBorder="1" applyAlignment="1">
      <alignment vertical="top" wrapText="1"/>
    </xf>
    <xf numFmtId="0" fontId="57" fillId="0" borderId="36" xfId="0" applyFont="1" applyBorder="1" applyAlignment="1">
      <alignment vertical="top" wrapText="1"/>
    </xf>
    <xf numFmtId="0" fontId="57" fillId="4" borderId="36" xfId="0" applyFont="1" applyFill="1" applyBorder="1" applyAlignment="1">
      <alignment vertical="top" wrapText="1"/>
    </xf>
    <xf numFmtId="0" fontId="57" fillId="4" borderId="36" xfId="0" applyFont="1" applyFill="1" applyBorder="1" applyAlignment="1">
      <alignment horizontal="left" vertical="top" wrapText="1"/>
    </xf>
    <xf numFmtId="0" fontId="57" fillId="0" borderId="36" xfId="0" applyFont="1" applyBorder="1" applyAlignment="1">
      <alignment horizontal="left" vertical="top" wrapText="1"/>
    </xf>
    <xf numFmtId="0" fontId="57" fillId="0" borderId="36" xfId="0" applyFont="1" applyBorder="1" applyAlignment="1">
      <alignment horizontal="center" vertical="top" wrapText="1"/>
    </xf>
    <xf numFmtId="0" fontId="2" fillId="37" borderId="36" xfId="0" applyFont="1" applyFill="1" applyBorder="1" applyAlignment="1">
      <alignment horizontal="center" vertical="top" wrapText="1"/>
    </xf>
    <xf numFmtId="0" fontId="57" fillId="37" borderId="36" xfId="0" applyFont="1" applyFill="1" applyBorder="1" applyAlignment="1">
      <alignment horizontal="center" vertical="top" wrapText="1"/>
    </xf>
    <xf numFmtId="0" fontId="57" fillId="36" borderId="37" xfId="0" applyFont="1" applyFill="1" applyBorder="1" applyAlignment="1">
      <alignment horizontal="center" vertical="top" wrapText="1"/>
    </xf>
    <xf numFmtId="0" fontId="57" fillId="0" borderId="38" xfId="0" applyFont="1" applyBorder="1" applyAlignment="1">
      <alignment horizontal="left" vertical="top" wrapText="1"/>
    </xf>
    <xf numFmtId="0" fontId="57" fillId="0" borderId="39" xfId="0" applyFont="1" applyBorder="1" applyAlignment="1">
      <alignment horizontal="center" vertical="top" wrapText="1"/>
    </xf>
    <xf numFmtId="0" fontId="57" fillId="5" borderId="39" xfId="0" applyFont="1" applyFill="1" applyBorder="1" applyAlignment="1">
      <alignment horizontal="center" vertical="top" wrapText="1"/>
    </xf>
    <xf numFmtId="0" fontId="57" fillId="15" borderId="40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12" borderId="36" xfId="0" applyFont="1" applyFill="1" applyBorder="1" applyAlignment="1">
      <alignment horizontal="center" vertical="top" wrapText="1"/>
    </xf>
    <xf numFmtId="0" fontId="57" fillId="12" borderId="41" xfId="0" applyFont="1" applyFill="1" applyBorder="1" applyAlignment="1">
      <alignment horizontal="center" vertical="top" wrapText="1"/>
    </xf>
    <xf numFmtId="0" fontId="57" fillId="0" borderId="39" xfId="0" applyFont="1" applyFill="1" applyBorder="1" applyAlignment="1">
      <alignment horizontal="center" vertical="top" wrapText="1"/>
    </xf>
    <xf numFmtId="0" fontId="57" fillId="10" borderId="39" xfId="0" applyFont="1" applyFill="1" applyBorder="1" applyAlignment="1">
      <alignment horizontal="center" vertical="top" wrapText="1"/>
    </xf>
    <xf numFmtId="0" fontId="57" fillId="10" borderId="36" xfId="0" applyFont="1" applyFill="1" applyBorder="1" applyAlignment="1">
      <alignment horizontal="center" vertical="top" wrapText="1"/>
    </xf>
    <xf numFmtId="0" fontId="57" fillId="10" borderId="41" xfId="0" applyFont="1" applyFill="1" applyBorder="1" applyAlignment="1">
      <alignment horizontal="center" vertical="top" wrapText="1"/>
    </xf>
    <xf numFmtId="0" fontId="57" fillId="10" borderId="40" xfId="0" applyFont="1" applyFill="1" applyBorder="1" applyAlignment="1">
      <alignment horizontal="center" vertical="top" wrapText="1"/>
    </xf>
    <xf numFmtId="0" fontId="57" fillId="7" borderId="39" xfId="0" applyFont="1" applyFill="1" applyBorder="1" applyAlignment="1">
      <alignment vertical="top" wrapText="1"/>
    </xf>
    <xf numFmtId="0" fontId="57" fillId="7" borderId="36" xfId="0" applyFont="1" applyFill="1" applyBorder="1" applyAlignment="1">
      <alignment vertical="top" wrapText="1"/>
    </xf>
    <xf numFmtId="0" fontId="57" fillId="7" borderId="41" xfId="0" applyFont="1" applyFill="1" applyBorder="1" applyAlignment="1">
      <alignment vertical="top" wrapText="1"/>
    </xf>
    <xf numFmtId="0" fontId="57" fillId="13" borderId="35" xfId="0" applyFont="1" applyFill="1" applyBorder="1" applyAlignment="1">
      <alignment vertical="top" wrapText="1"/>
    </xf>
    <xf numFmtId="0" fontId="57" fillId="13" borderId="36" xfId="0" applyFont="1" applyFill="1" applyBorder="1" applyAlignment="1">
      <alignment vertical="top" wrapText="1"/>
    </xf>
    <xf numFmtId="0" fontId="65" fillId="13" borderId="36" xfId="0" applyFont="1" applyFill="1" applyBorder="1" applyAlignment="1">
      <alignment vertical="top" wrapText="1"/>
    </xf>
    <xf numFmtId="0" fontId="65" fillId="13" borderId="40" xfId="0" applyFont="1" applyFill="1" applyBorder="1" applyAlignment="1">
      <alignment vertical="top" wrapText="1"/>
    </xf>
    <xf numFmtId="0" fontId="65" fillId="9" borderId="39" xfId="0" applyFont="1" applyFill="1" applyBorder="1" applyAlignment="1">
      <alignment horizontal="center" vertical="top" wrapText="1"/>
    </xf>
    <xf numFmtId="0" fontId="65" fillId="9" borderId="40" xfId="0" applyFont="1" applyFill="1" applyBorder="1" applyAlignment="1">
      <alignment horizontal="center" vertical="top" wrapText="1"/>
    </xf>
    <xf numFmtId="3" fontId="58" fillId="0" borderId="33" xfId="0" applyNumberFormat="1" applyFont="1" applyBorder="1" applyAlignment="1">
      <alignment horizontal="center"/>
    </xf>
    <xf numFmtId="3" fontId="58" fillId="0" borderId="34" xfId="0" applyNumberFormat="1" applyFont="1" applyBorder="1" applyAlignment="1">
      <alignment/>
    </xf>
    <xf numFmtId="3" fontId="59" fillId="39" borderId="34" xfId="0" applyNumberFormat="1" applyFont="1" applyFill="1" applyBorder="1" applyAlignment="1">
      <alignment horizontal="center"/>
    </xf>
    <xf numFmtId="3" fontId="58" fillId="0" borderId="42" xfId="0" applyNumberFormat="1" applyFont="1" applyBorder="1" applyAlignment="1">
      <alignment/>
    </xf>
    <xf numFmtId="3" fontId="58" fillId="0" borderId="34" xfId="0" applyNumberFormat="1" applyFont="1" applyBorder="1" applyAlignment="1">
      <alignment horizontal="left"/>
    </xf>
    <xf numFmtId="3" fontId="58" fillId="0" borderId="34" xfId="0" applyNumberFormat="1" applyFont="1" applyBorder="1" applyAlignment="1">
      <alignment horizontal="center" vertical="center"/>
    </xf>
    <xf numFmtId="3" fontId="58" fillId="0" borderId="34" xfId="0" applyNumberFormat="1" applyFont="1" applyBorder="1" applyAlignment="1">
      <alignment horizontal="center" vertical="top"/>
    </xf>
    <xf numFmtId="3" fontId="58" fillId="43" borderId="34" xfId="0" applyNumberFormat="1" applyFont="1" applyFill="1" applyBorder="1" applyAlignment="1">
      <alignment horizontal="center" vertical="top"/>
    </xf>
    <xf numFmtId="3" fontId="59" fillId="36" borderId="13" xfId="0" applyNumberFormat="1" applyFont="1" applyFill="1" applyBorder="1" applyAlignment="1">
      <alignment horizontal="center"/>
    </xf>
    <xf numFmtId="3" fontId="58" fillId="0" borderId="19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4" fontId="58" fillId="13" borderId="33" xfId="0" applyNumberFormat="1" applyFont="1" applyFill="1" applyBorder="1" applyAlignment="1">
      <alignment/>
    </xf>
    <xf numFmtId="4" fontId="58" fillId="13" borderId="34" xfId="0" applyNumberFormat="1" applyFont="1" applyFill="1" applyBorder="1" applyAlignment="1">
      <alignment/>
    </xf>
    <xf numFmtId="4" fontId="59" fillId="13" borderId="34" xfId="0" applyNumberFormat="1" applyFont="1" applyFill="1" applyBorder="1" applyAlignment="1">
      <alignment/>
    </xf>
    <xf numFmtId="4" fontId="59" fillId="13" borderId="13" xfId="0" applyNumberFormat="1" applyFont="1" applyFill="1" applyBorder="1" applyAlignment="1">
      <alignment/>
    </xf>
    <xf numFmtId="3" fontId="58" fillId="0" borderId="43" xfId="0" applyNumberFormat="1" applyFont="1" applyBorder="1" applyAlignment="1">
      <alignment/>
    </xf>
    <xf numFmtId="0" fontId="2" fillId="0" borderId="44" xfId="51" applyNumberFormat="1" applyFont="1" applyFill="1" applyBorder="1" applyAlignment="1" applyProtection="1" quotePrefix="1">
      <alignment horizontal="left" vertical="center"/>
      <protection locked="0"/>
    </xf>
    <xf numFmtId="3" fontId="57" fillId="15" borderId="14" xfId="0" applyNumberFormat="1" applyFont="1" applyFill="1" applyBorder="1" applyAlignment="1">
      <alignment horizontal="center" vertical="center"/>
    </xf>
    <xf numFmtId="9" fontId="57" fillId="0" borderId="14" xfId="49" applyFont="1" applyFill="1" applyBorder="1" applyAlignment="1" applyProtection="1">
      <alignment horizontal="center" vertical="center"/>
      <protection locked="0"/>
    </xf>
    <xf numFmtId="164" fontId="65" fillId="12" borderId="14" xfId="0" applyNumberFormat="1" applyFont="1" applyFill="1" applyBorder="1" applyAlignment="1">
      <alignment horizontal="center" vertical="center"/>
    </xf>
    <xf numFmtId="164" fontId="65" fillId="10" borderId="14" xfId="0" applyNumberFormat="1" applyFont="1" applyFill="1" applyBorder="1" applyAlignment="1">
      <alignment horizontal="center" vertical="center"/>
    </xf>
    <xf numFmtId="172" fontId="65" fillId="13" borderId="14" xfId="0" applyNumberFormat="1" applyFont="1" applyFill="1" applyBorder="1" applyAlignment="1" applyProtection="1" quotePrefix="1">
      <alignment vertical="center"/>
      <protection locked="0"/>
    </xf>
    <xf numFmtId="0" fontId="57" fillId="0" borderId="14" xfId="0" applyNumberFormat="1" applyFont="1" applyFill="1" applyBorder="1" applyAlignment="1" applyProtection="1">
      <alignment horizontal="left" vertical="center"/>
      <protection locked="0"/>
    </xf>
    <xf numFmtId="3" fontId="57" fillId="15" borderId="28" xfId="0" applyNumberFormat="1" applyFont="1" applyFill="1" applyBorder="1" applyAlignment="1">
      <alignment horizontal="center" vertical="center"/>
    </xf>
    <xf numFmtId="9" fontId="57" fillId="0" borderId="28" xfId="49" applyFont="1" applyFill="1" applyBorder="1" applyAlignment="1" applyProtection="1">
      <alignment horizontal="center" vertical="center"/>
      <protection locked="0"/>
    </xf>
    <xf numFmtId="164" fontId="65" fillId="12" borderId="28" xfId="0" applyNumberFormat="1" applyFont="1" applyFill="1" applyBorder="1" applyAlignment="1">
      <alignment horizontal="center" vertical="center"/>
    </xf>
    <xf numFmtId="164" fontId="65" fillId="10" borderId="28" xfId="0" applyNumberFormat="1" applyFont="1" applyFill="1" applyBorder="1" applyAlignment="1">
      <alignment horizontal="center" vertical="center"/>
    </xf>
    <xf numFmtId="172" fontId="65" fillId="13" borderId="28" xfId="0" applyNumberFormat="1" applyFont="1" applyFill="1" applyBorder="1" applyAlignment="1" applyProtection="1">
      <alignment vertical="center"/>
      <protection locked="0"/>
    </xf>
    <xf numFmtId="3" fontId="57" fillId="15" borderId="20" xfId="0" applyNumberFormat="1" applyFont="1" applyFill="1" applyBorder="1" applyAlignment="1">
      <alignment horizontal="center" vertical="center"/>
    </xf>
    <xf numFmtId="9" fontId="57" fillId="0" borderId="20" xfId="49" applyFont="1" applyFill="1" applyBorder="1" applyAlignment="1" applyProtection="1">
      <alignment horizontal="center" vertical="center"/>
      <protection locked="0"/>
    </xf>
    <xf numFmtId="164" fontId="65" fillId="12" borderId="20" xfId="0" applyNumberFormat="1" applyFont="1" applyFill="1" applyBorder="1" applyAlignment="1">
      <alignment horizontal="center" vertical="center"/>
    </xf>
    <xf numFmtId="164" fontId="65" fillId="10" borderId="20" xfId="0" applyNumberFormat="1" applyFont="1" applyFill="1" applyBorder="1" applyAlignment="1">
      <alignment horizontal="center" vertical="center"/>
    </xf>
    <xf numFmtId="3" fontId="57" fillId="44" borderId="14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 applyProtection="1">
      <alignment horizontal="center" vertical="center"/>
      <protection locked="0"/>
    </xf>
    <xf numFmtId="172" fontId="65" fillId="13" borderId="20" xfId="0" applyNumberFormat="1" applyFont="1" applyFill="1" applyBorder="1" applyAlignment="1" applyProtection="1" quotePrefix="1">
      <alignment vertical="center"/>
      <protection locked="0"/>
    </xf>
    <xf numFmtId="3" fontId="57" fillId="15" borderId="21" xfId="0" applyNumberFormat="1" applyFont="1" applyFill="1" applyBorder="1" applyAlignment="1">
      <alignment horizontal="center" vertical="center"/>
    </xf>
    <xf numFmtId="9" fontId="57" fillId="0" borderId="21" xfId="49" applyFont="1" applyFill="1" applyBorder="1" applyAlignment="1" applyProtection="1">
      <alignment horizontal="center" vertical="center"/>
      <protection locked="0"/>
    </xf>
    <xf numFmtId="164" fontId="65" fillId="12" borderId="21" xfId="0" applyNumberFormat="1" applyFont="1" applyFill="1" applyBorder="1" applyAlignment="1">
      <alignment horizontal="center" vertical="center"/>
    </xf>
    <xf numFmtId="164" fontId="65" fillId="10" borderId="21" xfId="0" applyNumberFormat="1" applyFont="1" applyFill="1" applyBorder="1" applyAlignment="1">
      <alignment horizontal="center" vertical="center"/>
    </xf>
    <xf numFmtId="0" fontId="2" fillId="40" borderId="20" xfId="51" applyNumberFormat="1" applyFont="1" applyFill="1" applyBorder="1" applyAlignment="1" applyProtection="1" quotePrefix="1">
      <alignment horizontal="left" vertical="center"/>
      <protection locked="0"/>
    </xf>
    <xf numFmtId="3" fontId="57" fillId="40" borderId="20" xfId="0" applyNumberFormat="1" applyFont="1" applyFill="1" applyBorder="1" applyAlignment="1" applyProtection="1">
      <alignment horizontal="center" vertical="center"/>
      <protection locked="0"/>
    </xf>
    <xf numFmtId="0" fontId="57" fillId="0" borderId="20" xfId="0" applyNumberFormat="1" applyFont="1" applyFill="1" applyBorder="1" applyAlignment="1" applyProtection="1">
      <alignment horizontal="left" vertical="center"/>
      <protection locked="0"/>
    </xf>
    <xf numFmtId="0" fontId="57" fillId="0" borderId="20" xfId="0" applyNumberFormat="1" applyFont="1" applyFill="1" applyBorder="1" applyAlignment="1" applyProtection="1">
      <alignment horizontal="center" vertical="center"/>
      <protection locked="0"/>
    </xf>
    <xf numFmtId="3" fontId="57" fillId="40" borderId="20" xfId="0" applyNumberFormat="1" applyFont="1" applyFill="1" applyBorder="1" applyAlignment="1" applyProtection="1">
      <alignment horizontal="left" vertical="center"/>
      <protection locked="0"/>
    </xf>
    <xf numFmtId="3" fontId="57" fillId="41" borderId="20" xfId="0" applyNumberFormat="1" applyFont="1" applyFill="1" applyBorder="1" applyAlignment="1" applyProtection="1">
      <alignment horizontal="center" vertical="center"/>
      <protection locked="0"/>
    </xf>
    <xf numFmtId="3" fontId="57" fillId="41" borderId="20" xfId="0" applyNumberFormat="1" applyFont="1" applyFill="1" applyBorder="1" applyAlignment="1">
      <alignment horizontal="center" vertical="center"/>
    </xf>
    <xf numFmtId="2" fontId="57" fillId="38" borderId="20" xfId="0" applyNumberFormat="1" applyFont="1" applyFill="1" applyBorder="1" applyAlignment="1" applyProtection="1">
      <alignment horizontal="center" vertical="center"/>
      <protection locked="0"/>
    </xf>
    <xf numFmtId="3" fontId="57" fillId="44" borderId="20" xfId="0" applyNumberFormat="1" applyFont="1" applyFill="1" applyBorder="1" applyAlignment="1">
      <alignment horizontal="center" vertical="center"/>
    </xf>
    <xf numFmtId="4" fontId="57" fillId="42" borderId="20" xfId="0" applyNumberFormat="1" applyFont="1" applyFill="1" applyBorder="1" applyAlignment="1" applyProtection="1">
      <alignment vertical="center"/>
      <protection locked="0"/>
    </xf>
    <xf numFmtId="2" fontId="57" fillId="42" borderId="20" xfId="0" applyNumberFormat="1" applyFont="1" applyFill="1" applyBorder="1" applyAlignment="1" applyProtection="1">
      <alignment vertical="center"/>
      <protection locked="0"/>
    </xf>
    <xf numFmtId="3" fontId="57" fillId="42" borderId="20" xfId="0" applyNumberFormat="1" applyFont="1" applyFill="1" applyBorder="1" applyAlignment="1" applyProtection="1">
      <alignment vertical="center"/>
      <protection locked="0"/>
    </xf>
    <xf numFmtId="1" fontId="57" fillId="42" borderId="20" xfId="0" applyNumberFormat="1" applyFont="1" applyFill="1" applyBorder="1" applyAlignment="1" applyProtection="1">
      <alignment vertical="center"/>
      <protection locked="0"/>
    </xf>
    <xf numFmtId="44" fontId="57" fillId="42" borderId="20" xfId="59" applyFont="1" applyFill="1" applyBorder="1" applyAlignment="1" applyProtection="1">
      <alignment vertical="center"/>
      <protection locked="0"/>
    </xf>
    <xf numFmtId="166" fontId="57" fillId="42" borderId="20" xfId="0" applyNumberFormat="1" applyFont="1" applyFill="1" applyBorder="1" applyAlignment="1" applyProtection="1">
      <alignment vertical="center"/>
      <protection locked="0"/>
    </xf>
    <xf numFmtId="0" fontId="2" fillId="40" borderId="28" xfId="51" applyNumberFormat="1" applyFont="1" applyFill="1" applyBorder="1" applyAlignment="1" applyProtection="1" quotePrefix="1">
      <alignment horizontal="left" vertical="center"/>
      <protection locked="0"/>
    </xf>
    <xf numFmtId="3" fontId="57" fillId="4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28" xfId="0" applyNumberFormat="1" applyFont="1" applyFill="1" applyBorder="1" applyAlignment="1" applyProtection="1">
      <alignment horizontal="left" vertical="center"/>
      <protection locked="0"/>
    </xf>
    <xf numFmtId="0" fontId="57" fillId="0" borderId="28" xfId="0" applyNumberFormat="1" applyFont="1" applyFill="1" applyBorder="1" applyAlignment="1" applyProtection="1">
      <alignment horizontal="center" vertical="center"/>
      <protection locked="0"/>
    </xf>
    <xf numFmtId="3" fontId="57" fillId="40" borderId="28" xfId="0" applyNumberFormat="1" applyFont="1" applyFill="1" applyBorder="1" applyAlignment="1" applyProtection="1">
      <alignment horizontal="left" vertical="center"/>
      <protection locked="0"/>
    </xf>
    <xf numFmtId="3" fontId="57" fillId="41" borderId="28" xfId="0" applyNumberFormat="1" applyFont="1" applyFill="1" applyBorder="1" applyAlignment="1" applyProtection="1">
      <alignment horizontal="center" vertical="center"/>
      <protection locked="0"/>
    </xf>
    <xf numFmtId="3" fontId="57" fillId="41" borderId="28" xfId="0" applyNumberFormat="1" applyFont="1" applyFill="1" applyBorder="1" applyAlignment="1">
      <alignment horizontal="center" vertical="center"/>
    </xf>
    <xf numFmtId="0" fontId="57" fillId="38" borderId="28" xfId="0" applyNumberFormat="1" applyFont="1" applyFill="1" applyBorder="1" applyAlignment="1" applyProtection="1">
      <alignment horizontal="center" vertical="center"/>
      <protection locked="0"/>
    </xf>
    <xf numFmtId="2" fontId="57" fillId="38" borderId="28" xfId="0" applyNumberFormat="1" applyFont="1" applyFill="1" applyBorder="1" applyAlignment="1" applyProtection="1">
      <alignment horizontal="center" vertical="center"/>
      <protection locked="0"/>
    </xf>
    <xf numFmtId="3" fontId="57" fillId="44" borderId="28" xfId="0" applyNumberFormat="1" applyFont="1" applyFill="1" applyBorder="1" applyAlignment="1">
      <alignment horizontal="center" vertical="center"/>
    </xf>
    <xf numFmtId="4" fontId="57" fillId="42" borderId="28" xfId="0" applyNumberFormat="1" applyFont="1" applyFill="1" applyBorder="1" applyAlignment="1" applyProtection="1">
      <alignment vertical="center"/>
      <protection locked="0"/>
    </xf>
    <xf numFmtId="2" fontId="57" fillId="42" borderId="28" xfId="0" applyNumberFormat="1" applyFont="1" applyFill="1" applyBorder="1" applyAlignment="1" applyProtection="1">
      <alignment vertical="center"/>
      <protection locked="0"/>
    </xf>
    <xf numFmtId="3" fontId="57" fillId="42" borderId="28" xfId="0" applyNumberFormat="1" applyFont="1" applyFill="1" applyBorder="1" applyAlignment="1" applyProtection="1">
      <alignment vertical="center"/>
      <protection locked="0"/>
    </xf>
    <xf numFmtId="1" fontId="57" fillId="42" borderId="28" xfId="0" applyNumberFormat="1" applyFont="1" applyFill="1" applyBorder="1" applyAlignment="1" applyProtection="1">
      <alignment vertical="center"/>
      <protection locked="0"/>
    </xf>
    <xf numFmtId="44" fontId="57" fillId="42" borderId="28" xfId="59" applyFont="1" applyFill="1" applyBorder="1" applyAlignment="1" applyProtection="1">
      <alignment vertical="center"/>
      <protection locked="0"/>
    </xf>
    <xf numFmtId="166" fontId="57" fillId="42" borderId="28" xfId="0" applyNumberFormat="1" applyFont="1" applyFill="1" applyBorder="1" applyAlignment="1" applyProtection="1">
      <alignment vertical="center"/>
      <protection locked="0"/>
    </xf>
    <xf numFmtId="175" fontId="65" fillId="9" borderId="22" xfId="0" applyNumberFormat="1" applyFont="1" applyFill="1" applyBorder="1" applyAlignment="1">
      <alignment horizontal="center" vertical="center"/>
    </xf>
    <xf numFmtId="175" fontId="65" fillId="9" borderId="23" xfId="0" applyNumberFormat="1" applyFont="1" applyFill="1" applyBorder="1" applyAlignment="1">
      <alignment horizontal="center" vertical="center"/>
    </xf>
    <xf numFmtId="175" fontId="65" fillId="9" borderId="45" xfId="0" applyNumberFormat="1" applyFont="1" applyFill="1" applyBorder="1" applyAlignment="1">
      <alignment horizontal="center" vertical="center"/>
    </xf>
    <xf numFmtId="175" fontId="65" fillId="9" borderId="24" xfId="0" applyNumberFormat="1" applyFont="1" applyFill="1" applyBorder="1" applyAlignment="1">
      <alignment horizontal="center" vertical="center"/>
    </xf>
    <xf numFmtId="176" fontId="65" fillId="9" borderId="20" xfId="0" applyNumberFormat="1" applyFont="1" applyFill="1" applyBorder="1" applyAlignment="1">
      <alignment horizontal="center" vertical="center"/>
    </xf>
    <xf numFmtId="176" fontId="65" fillId="9" borderId="14" xfId="0" applyNumberFormat="1" applyFont="1" applyFill="1" applyBorder="1" applyAlignment="1">
      <alignment horizontal="center" vertical="center"/>
    </xf>
    <xf numFmtId="176" fontId="65" fillId="9" borderId="28" xfId="0" applyNumberFormat="1" applyFont="1" applyFill="1" applyBorder="1" applyAlignment="1">
      <alignment horizontal="center" vertical="center"/>
    </xf>
    <xf numFmtId="176" fontId="65" fillId="9" borderId="21" xfId="0" applyNumberFormat="1" applyFont="1" applyFill="1" applyBorder="1" applyAlignment="1">
      <alignment horizontal="center" vertical="center"/>
    </xf>
    <xf numFmtId="3" fontId="57" fillId="36" borderId="46" xfId="0" applyNumberFormat="1" applyFont="1" applyFill="1" applyBorder="1" applyAlignment="1">
      <alignment horizontal="center" vertical="center"/>
    </xf>
    <xf numFmtId="3" fontId="57" fillId="36" borderId="47" xfId="0" applyNumberFormat="1" applyFont="1" applyFill="1" applyBorder="1" applyAlignment="1">
      <alignment horizontal="center" vertical="center"/>
    </xf>
    <xf numFmtId="3" fontId="57" fillId="36" borderId="48" xfId="0" applyNumberFormat="1" applyFont="1" applyFill="1" applyBorder="1" applyAlignment="1">
      <alignment horizontal="center" vertical="center"/>
    </xf>
    <xf numFmtId="3" fontId="57" fillId="36" borderId="49" xfId="0" applyNumberFormat="1" applyFont="1" applyFill="1" applyBorder="1" applyAlignment="1">
      <alignment horizontal="center" vertical="center"/>
    </xf>
    <xf numFmtId="0" fontId="57" fillId="0" borderId="32" xfId="0" applyNumberFormat="1" applyFont="1" applyFill="1" applyBorder="1" applyAlignment="1" applyProtection="1" quotePrefix="1">
      <alignment horizontal="left" vertical="center"/>
      <protection locked="0"/>
    </xf>
    <xf numFmtId="0" fontId="57" fillId="0" borderId="26" xfId="0" applyNumberFormat="1" applyFont="1" applyFill="1" applyBorder="1" applyAlignment="1" applyProtection="1" quotePrefix="1">
      <alignment horizontal="left" vertical="center"/>
      <protection locked="0"/>
    </xf>
    <xf numFmtId="0" fontId="57" fillId="0" borderId="26" xfId="0" applyNumberFormat="1" applyFont="1" applyFill="1" applyBorder="1" applyAlignment="1" applyProtection="1">
      <alignment horizontal="left" vertical="center"/>
      <protection locked="0"/>
    </xf>
    <xf numFmtId="0" fontId="57" fillId="0" borderId="27" xfId="0" applyNumberFormat="1" applyFont="1" applyFill="1" applyBorder="1" applyAlignment="1" applyProtection="1" quotePrefix="1">
      <alignment horizontal="left" vertical="center"/>
      <protection locked="0"/>
    </xf>
    <xf numFmtId="0" fontId="57" fillId="0" borderId="32" xfId="0" applyNumberFormat="1" applyFont="1" applyBorder="1" applyAlignment="1" applyProtection="1">
      <alignment horizontal="left" vertical="center"/>
      <protection locked="0"/>
    </xf>
    <xf numFmtId="0" fontId="57" fillId="0" borderId="26" xfId="0" applyNumberFormat="1" applyFont="1" applyBorder="1" applyAlignment="1" applyProtection="1">
      <alignment horizontal="left" vertical="center"/>
      <protection locked="0"/>
    </xf>
    <xf numFmtId="0" fontId="57" fillId="0" borderId="44" xfId="0" applyNumberFormat="1" applyFont="1" applyBorder="1" applyAlignment="1" applyProtection="1">
      <alignment horizontal="left" vertical="center"/>
      <protection locked="0"/>
    </xf>
    <xf numFmtId="0" fontId="57" fillId="3" borderId="50" xfId="0" applyFont="1" applyFill="1" applyBorder="1" applyAlignment="1">
      <alignment horizontal="center"/>
    </xf>
    <xf numFmtId="0" fontId="58" fillId="0" borderId="47" xfId="0" applyFont="1" applyBorder="1" applyAlignment="1" applyProtection="1">
      <alignment horizontal="left"/>
      <protection locked="0"/>
    </xf>
    <xf numFmtId="0" fontId="58" fillId="0" borderId="51" xfId="0" applyFont="1" applyBorder="1" applyAlignment="1" applyProtection="1">
      <alignment horizontal="left"/>
      <protection locked="0"/>
    </xf>
    <xf numFmtId="0" fontId="58" fillId="0" borderId="50" xfId="0" applyFont="1" applyBorder="1" applyAlignment="1" applyProtection="1">
      <alignment horizontal="left"/>
      <protection locked="0"/>
    </xf>
    <xf numFmtId="0" fontId="59" fillId="9" borderId="52" xfId="0" applyFont="1" applyFill="1" applyBorder="1" applyAlignment="1">
      <alignment horizontal="center" vertical="center"/>
    </xf>
    <xf numFmtId="0" fontId="59" fillId="9" borderId="22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66" fillId="15" borderId="38" xfId="0" applyFont="1" applyFill="1" applyBorder="1" applyAlignment="1">
      <alignment horizontal="center" vertical="center"/>
    </xf>
    <xf numFmtId="0" fontId="66" fillId="15" borderId="16" xfId="0" applyFont="1" applyFill="1" applyBorder="1" applyAlignment="1">
      <alignment horizontal="center" vertical="center"/>
    </xf>
    <xf numFmtId="0" fontId="66" fillId="15" borderId="17" xfId="0" applyFont="1" applyFill="1" applyBorder="1" applyAlignment="1">
      <alignment horizontal="center" vertical="center"/>
    </xf>
    <xf numFmtId="0" fontId="66" fillId="15" borderId="54" xfId="0" applyFont="1" applyFill="1" applyBorder="1" applyAlignment="1">
      <alignment horizontal="center" vertical="center"/>
    </xf>
    <xf numFmtId="0" fontId="66" fillId="15" borderId="11" xfId="0" applyFont="1" applyFill="1" applyBorder="1" applyAlignment="1">
      <alignment horizontal="center" vertical="center"/>
    </xf>
    <xf numFmtId="0" fontId="66" fillId="15" borderId="43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 wrapText="1"/>
    </xf>
    <xf numFmtId="0" fontId="59" fillId="10" borderId="16" xfId="0" applyFont="1" applyFill="1" applyBorder="1" applyAlignment="1">
      <alignment horizontal="center" vertical="center" wrapText="1"/>
    </xf>
    <xf numFmtId="0" fontId="59" fillId="10" borderId="18" xfId="0" applyFont="1" applyFill="1" applyBorder="1" applyAlignment="1">
      <alignment horizontal="center" vertical="center" wrapText="1"/>
    </xf>
    <xf numFmtId="0" fontId="59" fillId="10" borderId="0" xfId="0" applyFont="1" applyFill="1" applyBorder="1" applyAlignment="1">
      <alignment horizontal="center" vertical="center" wrapText="1"/>
    </xf>
    <xf numFmtId="0" fontId="59" fillId="12" borderId="15" xfId="0" applyFont="1" applyFill="1" applyBorder="1" applyAlignment="1">
      <alignment horizontal="center" vertical="center" wrapText="1"/>
    </xf>
    <xf numFmtId="0" fontId="59" fillId="12" borderId="16" xfId="0" applyFont="1" applyFill="1" applyBorder="1" applyAlignment="1">
      <alignment horizontal="center" vertical="center" wrapText="1"/>
    </xf>
    <xf numFmtId="0" fontId="59" fillId="12" borderId="17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0" fontId="59" fillId="12" borderId="0" xfId="0" applyFont="1" applyFill="1" applyBorder="1" applyAlignment="1">
      <alignment horizontal="center" vertical="center" wrapText="1"/>
    </xf>
    <xf numFmtId="0" fontId="59" fillId="12" borderId="55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56" xfId="0" applyFont="1" applyFill="1" applyBorder="1" applyAlignment="1">
      <alignment horizontal="center" vertical="center"/>
    </xf>
    <xf numFmtId="0" fontId="66" fillId="36" borderId="19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66" fillId="36" borderId="57" xfId="0" applyFont="1" applyFill="1" applyBorder="1" applyAlignment="1">
      <alignment horizontal="center" vertical="center"/>
    </xf>
    <xf numFmtId="0" fontId="59" fillId="13" borderId="15" xfId="0" applyFont="1" applyFill="1" applyBorder="1" applyAlignment="1">
      <alignment horizontal="center" vertical="center"/>
    </xf>
    <xf numFmtId="0" fontId="59" fillId="13" borderId="16" xfId="0" applyFont="1" applyFill="1" applyBorder="1" applyAlignment="1">
      <alignment horizontal="center" vertical="center"/>
    </xf>
    <xf numFmtId="0" fontId="59" fillId="13" borderId="17" xfId="0" applyFont="1" applyFill="1" applyBorder="1" applyAlignment="1">
      <alignment horizontal="center" vertical="center"/>
    </xf>
    <xf numFmtId="0" fontId="59" fillId="13" borderId="18" xfId="0" applyFont="1" applyFill="1" applyBorder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59" fillId="13" borderId="55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16" xfId="0" applyFont="1" applyFill="1" applyBorder="1" applyAlignment="1">
      <alignment horizontal="center" vertical="center"/>
    </xf>
    <xf numFmtId="0" fontId="59" fillId="7" borderId="17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43" xfId="0" applyFont="1" applyFill="1" applyBorder="1" applyAlignment="1">
      <alignment horizontal="center" vertical="center"/>
    </xf>
    <xf numFmtId="0" fontId="57" fillId="3" borderId="48" xfId="0" applyFont="1" applyFill="1" applyBorder="1" applyAlignment="1">
      <alignment horizontal="left" vertical="top" wrapText="1"/>
    </xf>
    <xf numFmtId="0" fontId="57" fillId="3" borderId="58" xfId="0" applyFont="1" applyFill="1" applyBorder="1" applyAlignment="1">
      <alignment horizontal="left" vertical="top" wrapText="1"/>
    </xf>
    <xf numFmtId="0" fontId="57" fillId="3" borderId="59" xfId="0" applyFont="1" applyFill="1" applyBorder="1" applyAlignment="1">
      <alignment horizontal="left" vertical="top" wrapText="1"/>
    </xf>
    <xf numFmtId="0" fontId="57" fillId="3" borderId="60" xfId="0" applyFont="1" applyFill="1" applyBorder="1" applyAlignment="1">
      <alignment horizontal="left" vertical="top" wrapText="1"/>
    </xf>
    <xf numFmtId="0" fontId="57" fillId="3" borderId="0" xfId="0" applyFont="1" applyFill="1" applyBorder="1" applyAlignment="1">
      <alignment horizontal="left" vertical="top" wrapText="1"/>
    </xf>
    <xf numFmtId="0" fontId="57" fillId="3" borderId="61" xfId="0" applyFont="1" applyFill="1" applyBorder="1" applyAlignment="1">
      <alignment horizontal="left" vertical="top" wrapText="1"/>
    </xf>
    <xf numFmtId="0" fontId="57" fillId="3" borderId="62" xfId="0" applyFont="1" applyFill="1" applyBorder="1" applyAlignment="1">
      <alignment horizontal="left" vertical="top" wrapText="1"/>
    </xf>
    <xf numFmtId="0" fontId="57" fillId="3" borderId="25" xfId="0" applyFont="1" applyFill="1" applyBorder="1" applyAlignment="1">
      <alignment horizontal="left" vertical="top" wrapText="1"/>
    </xf>
    <xf numFmtId="0" fontId="57" fillId="3" borderId="63" xfId="0" applyFont="1" applyFill="1" applyBorder="1" applyAlignment="1">
      <alignment horizontal="left" vertical="top" wrapText="1"/>
    </xf>
    <xf numFmtId="0" fontId="57" fillId="3" borderId="47" xfId="0" applyFont="1" applyFill="1" applyBorder="1" applyAlignment="1">
      <alignment horizontal="center"/>
    </xf>
    <xf numFmtId="0" fontId="64" fillId="3" borderId="47" xfId="0" applyFont="1" applyFill="1" applyBorder="1" applyAlignment="1">
      <alignment horizontal="center" vertical="center"/>
    </xf>
    <xf numFmtId="0" fontId="64" fillId="3" borderId="5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3</xdr:col>
      <xdr:colOff>828675</xdr:colOff>
      <xdr:row>1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66675</xdr:rowOff>
    </xdr:from>
    <xdr:to>
      <xdr:col>3</xdr:col>
      <xdr:colOff>200025</xdr:colOff>
      <xdr:row>5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600"/>
          <a:ext cx="2562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40"/>
  <sheetViews>
    <sheetView zoomScalePageLayoutView="0" workbookViewId="0" topLeftCell="A1">
      <selection activeCell="E4" sqref="E4"/>
    </sheetView>
  </sheetViews>
  <sheetFormatPr defaultColWidth="11.421875" defaultRowHeight="15"/>
  <cols>
    <col min="1" max="3" width="11.421875" style="62" customWidth="1"/>
    <col min="4" max="4" width="19.8515625" style="62" customWidth="1"/>
    <col min="5" max="5" width="61.8515625" style="62" customWidth="1"/>
    <col min="6" max="16384" width="11.421875" style="62" customWidth="1"/>
  </cols>
  <sheetData>
    <row r="1" spans="1:7" ht="59.25" customHeight="1">
      <c r="A1" s="61"/>
      <c r="B1" s="61"/>
      <c r="C1" s="61"/>
      <c r="D1" s="61"/>
      <c r="E1" s="61"/>
      <c r="F1" s="61"/>
      <c r="G1" s="61"/>
    </row>
    <row r="2" ht="15" thickBot="1"/>
    <row r="3" spans="1:7" ht="18.75" thickBot="1">
      <c r="A3" s="63" t="s">
        <v>205</v>
      </c>
      <c r="B3" s="64"/>
      <c r="C3" s="64"/>
      <c r="D3" s="64"/>
      <c r="E3" s="65"/>
      <c r="F3" s="66"/>
      <c r="G3" s="67"/>
    </row>
    <row r="4" spans="1:7" ht="30" customHeight="1">
      <c r="A4" s="68" t="s">
        <v>106</v>
      </c>
      <c r="B4" s="69"/>
      <c r="C4" s="69"/>
      <c r="D4" s="69"/>
      <c r="E4" s="103"/>
      <c r="F4" s="66"/>
      <c r="G4" s="67"/>
    </row>
    <row r="5" spans="1:7" ht="30" customHeight="1">
      <c r="A5" s="70" t="s">
        <v>107</v>
      </c>
      <c r="B5" s="71"/>
      <c r="C5" s="71"/>
      <c r="D5" s="71"/>
      <c r="E5" s="104"/>
      <c r="F5" s="67"/>
      <c r="G5" s="67"/>
    </row>
    <row r="6" spans="1:7" ht="30" customHeight="1">
      <c r="A6" s="70" t="s">
        <v>232</v>
      </c>
      <c r="B6" s="71"/>
      <c r="C6" s="71"/>
      <c r="D6" s="71"/>
      <c r="E6" s="104"/>
      <c r="F6" s="67"/>
      <c r="G6" s="67"/>
    </row>
    <row r="7" spans="1:7" ht="30" customHeight="1">
      <c r="A7" s="70" t="s">
        <v>108</v>
      </c>
      <c r="B7" s="71"/>
      <c r="C7" s="71"/>
      <c r="D7" s="71"/>
      <c r="E7" s="104"/>
      <c r="F7" s="67"/>
      <c r="G7" s="67"/>
    </row>
    <row r="8" spans="1:7" ht="30" customHeight="1">
      <c r="A8" s="72" t="s">
        <v>109</v>
      </c>
      <c r="B8" s="71"/>
      <c r="C8" s="71"/>
      <c r="D8" s="71"/>
      <c r="E8" s="104"/>
      <c r="F8" s="67"/>
      <c r="G8" s="67"/>
    </row>
    <row r="9" spans="1:7" ht="30" customHeight="1">
      <c r="A9" s="72" t="s">
        <v>110</v>
      </c>
      <c r="B9" s="71"/>
      <c r="C9" s="71"/>
      <c r="D9" s="71"/>
      <c r="E9" s="104"/>
      <c r="F9" s="67"/>
      <c r="G9" s="67"/>
    </row>
    <row r="10" spans="1:7" ht="30" customHeight="1">
      <c r="A10" s="72" t="s">
        <v>111</v>
      </c>
      <c r="B10" s="71"/>
      <c r="C10" s="71"/>
      <c r="D10" s="71"/>
      <c r="E10" s="105"/>
      <c r="F10" s="67"/>
      <c r="G10" s="67"/>
    </row>
    <row r="11" spans="1:7" ht="30" customHeight="1">
      <c r="A11" s="70" t="s">
        <v>112</v>
      </c>
      <c r="B11" s="71"/>
      <c r="C11" s="71"/>
      <c r="D11" s="71"/>
      <c r="E11" s="106"/>
      <c r="F11" s="67"/>
      <c r="G11" s="67"/>
    </row>
    <row r="12" spans="1:7" ht="30" customHeight="1">
      <c r="A12" s="70" t="s">
        <v>125</v>
      </c>
      <c r="B12" s="71"/>
      <c r="C12" s="71"/>
      <c r="D12" s="71"/>
      <c r="E12" s="107"/>
      <c r="F12" s="67"/>
      <c r="G12" s="67"/>
    </row>
    <row r="13" spans="1:7" ht="30" customHeight="1">
      <c r="A13" s="70" t="s">
        <v>113</v>
      </c>
      <c r="B13" s="71"/>
      <c r="C13" s="71"/>
      <c r="D13" s="71"/>
      <c r="E13" s="104"/>
      <c r="F13" s="67"/>
      <c r="G13" s="67"/>
    </row>
    <row r="14" spans="1:7" ht="30" customHeight="1">
      <c r="A14" s="72" t="s">
        <v>114</v>
      </c>
      <c r="B14" s="71"/>
      <c r="C14" s="71"/>
      <c r="D14" s="71"/>
      <c r="E14" s="104"/>
      <c r="F14" s="67"/>
      <c r="G14" s="67"/>
    </row>
    <row r="15" spans="1:7" ht="30" customHeight="1">
      <c r="A15" s="72" t="s">
        <v>115</v>
      </c>
      <c r="B15" s="71"/>
      <c r="C15" s="71"/>
      <c r="D15" s="71"/>
      <c r="E15" s="104"/>
      <c r="F15" s="67"/>
      <c r="G15" s="67"/>
    </row>
    <row r="16" spans="1:7" ht="30" customHeight="1">
      <c r="A16" s="72" t="s">
        <v>116</v>
      </c>
      <c r="B16" s="71"/>
      <c r="C16" s="71"/>
      <c r="D16" s="71"/>
      <c r="E16" s="104"/>
      <c r="F16" s="67"/>
      <c r="G16" s="67"/>
    </row>
    <row r="17" spans="1:7" ht="30" customHeight="1">
      <c r="A17" s="72" t="s">
        <v>117</v>
      </c>
      <c r="B17" s="71"/>
      <c r="C17" s="71"/>
      <c r="D17" s="71"/>
      <c r="E17" s="104"/>
      <c r="F17" s="67"/>
      <c r="G17" s="67"/>
    </row>
    <row r="18" spans="1:7" ht="30" customHeight="1">
      <c r="A18" s="70" t="s">
        <v>118</v>
      </c>
      <c r="B18" s="71"/>
      <c r="C18" s="71"/>
      <c r="D18" s="71"/>
      <c r="E18" s="104"/>
      <c r="F18" s="67"/>
      <c r="G18" s="67"/>
    </row>
    <row r="19" spans="1:7" ht="30" customHeight="1">
      <c r="A19" s="72" t="s">
        <v>119</v>
      </c>
      <c r="B19" s="71"/>
      <c r="C19" s="71"/>
      <c r="D19" s="71"/>
      <c r="E19" s="104"/>
      <c r="F19" s="67"/>
      <c r="G19" s="67"/>
    </row>
    <row r="20" spans="1:7" ht="30" customHeight="1">
      <c r="A20" s="72" t="s">
        <v>120</v>
      </c>
      <c r="B20" s="71"/>
      <c r="C20" s="71"/>
      <c r="D20" s="71"/>
      <c r="E20" s="104"/>
      <c r="F20" s="67"/>
      <c r="G20" s="67"/>
    </row>
    <row r="21" spans="1:7" ht="30" customHeight="1">
      <c r="A21" s="70" t="s">
        <v>121</v>
      </c>
      <c r="B21" s="71"/>
      <c r="C21" s="71"/>
      <c r="D21" s="71"/>
      <c r="E21" s="104"/>
      <c r="F21" s="67"/>
      <c r="G21" s="67"/>
    </row>
    <row r="22" spans="1:7" ht="30" customHeight="1">
      <c r="A22" s="72" t="s">
        <v>122</v>
      </c>
      <c r="B22" s="71"/>
      <c r="C22" s="71"/>
      <c r="D22" s="71" t="s">
        <v>123</v>
      </c>
      <c r="E22" s="104"/>
      <c r="F22" s="67"/>
      <c r="G22" s="67"/>
    </row>
    <row r="23" spans="1:7" ht="30" customHeight="1" thickBot="1">
      <c r="A23" s="73" t="s">
        <v>124</v>
      </c>
      <c r="B23" s="74"/>
      <c r="C23" s="74"/>
      <c r="D23" s="74" t="s">
        <v>123</v>
      </c>
      <c r="E23" s="108"/>
      <c r="F23" s="67"/>
      <c r="G23" s="67"/>
    </row>
    <row r="24" spans="1:7" ht="30" customHeight="1" thickBot="1">
      <c r="A24" s="75"/>
      <c r="B24" s="75"/>
      <c r="C24" s="75"/>
      <c r="D24" s="75"/>
      <c r="E24" s="75"/>
      <c r="F24" s="66"/>
      <c r="G24" s="67"/>
    </row>
    <row r="25" spans="1:7" ht="30" customHeight="1">
      <c r="A25" s="76" t="s">
        <v>201</v>
      </c>
      <c r="B25" s="69"/>
      <c r="C25" s="69"/>
      <c r="D25" s="69"/>
      <c r="E25" s="109"/>
      <c r="F25" s="66"/>
      <c r="G25" s="67"/>
    </row>
    <row r="26" spans="1:7" ht="30" customHeight="1">
      <c r="A26" s="72" t="s">
        <v>202</v>
      </c>
      <c r="B26" s="71"/>
      <c r="C26" s="71"/>
      <c r="D26" s="71"/>
      <c r="E26" s="110"/>
      <c r="F26" s="66"/>
      <c r="G26" s="67"/>
    </row>
    <row r="27" spans="1:5" ht="30" customHeight="1" thickBot="1">
      <c r="A27" s="73" t="s">
        <v>203</v>
      </c>
      <c r="B27" s="74"/>
      <c r="C27" s="74"/>
      <c r="D27" s="74"/>
      <c r="E27" s="111"/>
    </row>
    <row r="28" ht="15" thickBot="1"/>
    <row r="29" spans="1:5" ht="23.25" customHeight="1" thickBot="1">
      <c r="A29" s="156" t="s">
        <v>206</v>
      </c>
      <c r="B29" s="157"/>
      <c r="C29" s="157"/>
      <c r="D29" s="158"/>
      <c r="E29" s="67"/>
    </row>
    <row r="31" spans="1:5" ht="14.25">
      <c r="A31" s="112"/>
      <c r="B31" s="112"/>
      <c r="C31" s="112"/>
      <c r="D31" s="112"/>
      <c r="E31" s="112"/>
    </row>
    <row r="32" spans="1:5" ht="14.25">
      <c r="A32" s="112"/>
      <c r="B32" s="112"/>
      <c r="C32" s="112"/>
      <c r="D32" s="112"/>
      <c r="E32" s="112"/>
    </row>
    <row r="33" spans="1:6" ht="14.25">
      <c r="A33" s="113"/>
      <c r="B33" s="113"/>
      <c r="C33" s="113"/>
      <c r="D33" s="113"/>
      <c r="E33" s="113"/>
      <c r="F33" s="67"/>
    </row>
    <row r="34" spans="1:6" ht="14.25">
      <c r="A34" s="62" t="s">
        <v>105</v>
      </c>
      <c r="C34" s="62" t="s">
        <v>204</v>
      </c>
      <c r="E34" s="62" t="s">
        <v>126</v>
      </c>
      <c r="F34" s="67"/>
    </row>
    <row r="37" ht="14.25">
      <c r="A37" s="62" t="s">
        <v>127</v>
      </c>
    </row>
    <row r="38" ht="14.25">
      <c r="A38" s="62" t="s">
        <v>128</v>
      </c>
    </row>
    <row r="39" ht="14.25">
      <c r="A39" s="62" t="s">
        <v>129</v>
      </c>
    </row>
    <row r="40" ht="14.25">
      <c r="A40" s="62" t="s">
        <v>130</v>
      </c>
    </row>
  </sheetData>
  <sheetProtection/>
  <printOptions/>
  <pageMargins left="0.66" right="0.75" top="0.787401575" bottom="0.787401575" header="0.3" footer="0.3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4:BS8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" sqref="E2"/>
    </sheetView>
  </sheetViews>
  <sheetFormatPr defaultColWidth="11.421875" defaultRowHeight="15"/>
  <cols>
    <col min="1" max="1" width="17.140625" style="14" customWidth="1"/>
    <col min="2" max="2" width="10.7109375" style="14" customWidth="1"/>
    <col min="3" max="3" width="14.28125" style="14" customWidth="1"/>
    <col min="4" max="4" width="14.8515625" style="14" customWidth="1"/>
    <col min="5" max="7" width="14.7109375" style="14" customWidth="1"/>
    <col min="8" max="8" width="16.28125" style="14" customWidth="1"/>
    <col min="9" max="9" width="19.8515625" style="14" customWidth="1"/>
    <col min="10" max="10" width="23.140625" style="14" customWidth="1"/>
    <col min="11" max="15" width="14.28125" style="15" customWidth="1"/>
    <col min="16" max="16" width="13.00390625" style="17" customWidth="1"/>
    <col min="17" max="17" width="9.28125" style="17" customWidth="1"/>
    <col min="18" max="18" width="12.00390625" style="15" customWidth="1"/>
    <col min="19" max="19" width="11.28125" style="16" customWidth="1"/>
    <col min="20" max="20" width="11.421875" style="16" customWidth="1"/>
    <col min="21" max="21" width="15.57421875" style="16" customWidth="1"/>
    <col min="22" max="22" width="13.00390625" style="17" customWidth="1"/>
    <col min="23" max="23" width="14.28125" style="18" customWidth="1"/>
    <col min="24" max="24" width="35.28125" style="15" customWidth="1"/>
    <col min="25" max="25" width="13.140625" style="15" customWidth="1"/>
    <col min="26" max="26" width="13.7109375" style="18" customWidth="1"/>
    <col min="27" max="27" width="13.8515625" style="18" customWidth="1"/>
    <col min="28" max="29" width="13.7109375" style="18" customWidth="1"/>
    <col min="30" max="30" width="13.28125" style="18" customWidth="1"/>
    <col min="31" max="31" width="13.140625" style="18" customWidth="1"/>
    <col min="32" max="32" width="11.140625" style="18" customWidth="1"/>
    <col min="33" max="33" width="13.7109375" style="18" customWidth="1"/>
    <col min="34" max="34" width="16.57421875" style="19" customWidth="1"/>
    <col min="35" max="37" width="15.7109375" style="19" customWidth="1"/>
    <col min="38" max="39" width="14.00390625" style="18" customWidth="1"/>
    <col min="40" max="40" width="13.8515625" style="19" customWidth="1"/>
    <col min="41" max="42" width="13.28125" style="14" customWidth="1"/>
    <col min="43" max="43" width="25.00390625" style="14" customWidth="1"/>
    <col min="44" max="44" width="11.57421875" style="14" customWidth="1"/>
    <col min="45" max="45" width="15.00390625" style="14" customWidth="1"/>
    <col min="46" max="46" width="14.140625" style="14" customWidth="1"/>
    <col min="47" max="47" width="13.8515625" style="14" customWidth="1"/>
    <col min="48" max="52" width="11.421875" style="14" customWidth="1"/>
    <col min="53" max="53" width="13.28125" style="14" customWidth="1"/>
    <col min="54" max="54" width="11.421875" style="14" customWidth="1"/>
    <col min="55" max="55" width="13.421875" style="14" customWidth="1"/>
    <col min="56" max="59" width="11.421875" style="14" customWidth="1"/>
    <col min="60" max="61" width="12.421875" style="14" customWidth="1"/>
    <col min="62" max="64" width="14.28125" style="14" customWidth="1"/>
    <col min="65" max="65" width="12.28125" style="14" customWidth="1"/>
    <col min="66" max="68" width="14.28125" style="14" customWidth="1"/>
    <col min="69" max="16384" width="11.421875" style="14" customWidth="1"/>
  </cols>
  <sheetData>
    <row r="2" ht="12.75"/>
    <row r="3" ht="12.75"/>
    <row r="4" spans="6:9" ht="15" customHeight="1">
      <c r="F4" s="405" t="s">
        <v>237</v>
      </c>
      <c r="G4" s="406"/>
      <c r="H4" s="406"/>
      <c r="I4" s="407"/>
    </row>
    <row r="5" spans="6:25" ht="12.75" customHeight="1">
      <c r="F5" s="408"/>
      <c r="G5" s="409"/>
      <c r="H5" s="409"/>
      <c r="I5" s="410"/>
      <c r="X5" s="48"/>
      <c r="Y5" s="21"/>
    </row>
    <row r="6" spans="6:25" ht="12.75">
      <c r="F6" s="411"/>
      <c r="G6" s="412"/>
      <c r="H6" s="412"/>
      <c r="I6" s="413"/>
      <c r="X6" s="48"/>
      <c r="Y6" s="21"/>
    </row>
    <row r="7" spans="24:25" ht="12.75">
      <c r="X7" s="48"/>
      <c r="Y7" s="21"/>
    </row>
    <row r="8" spans="1:65" ht="15.75">
      <c r="A8" s="60" t="s">
        <v>0</v>
      </c>
      <c r="B8" s="364"/>
      <c r="C8" s="365"/>
      <c r="D8" s="366"/>
      <c r="F8" s="415" t="s">
        <v>209</v>
      </c>
      <c r="G8" s="416"/>
      <c r="H8" s="414" t="s">
        <v>236</v>
      </c>
      <c r="I8" s="363"/>
      <c r="X8" s="51" t="s">
        <v>101</v>
      </c>
      <c r="Y8" s="58"/>
      <c r="AI8" s="218"/>
      <c r="AJ8" s="218"/>
      <c r="BL8" s="209"/>
      <c r="BM8" s="212"/>
    </row>
    <row r="9" spans="1:41" ht="15.75">
      <c r="A9" s="60" t="s">
        <v>1</v>
      </c>
      <c r="B9" s="364"/>
      <c r="C9" s="365"/>
      <c r="D9" s="366"/>
      <c r="I9" s="38"/>
      <c r="X9" s="48"/>
      <c r="Y9" s="21"/>
      <c r="AO9" s="197" t="s">
        <v>215</v>
      </c>
    </row>
    <row r="10" spans="1:68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X10" s="18"/>
      <c r="Y10" s="18"/>
      <c r="AH10" s="18"/>
      <c r="AI10" s="18"/>
      <c r="AJ10" s="18"/>
      <c r="AK10" s="18"/>
      <c r="AN10" s="18"/>
      <c r="AO10" s="198">
        <v>0.79</v>
      </c>
      <c r="AP10" s="197">
        <v>0.05</v>
      </c>
      <c r="AQ10" s="18"/>
      <c r="AR10" s="18"/>
      <c r="AS10" s="198">
        <v>0.79</v>
      </c>
      <c r="AT10" s="197">
        <v>0.2</v>
      </c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ht="13.5" thickBot="1">
      <c r="A11" s="77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3"/>
      <c r="Q11" s="23"/>
      <c r="R11" s="21"/>
      <c r="S11" s="22"/>
      <c r="T11" s="22"/>
      <c r="U11" s="22"/>
      <c r="V11" s="23"/>
      <c r="W11" s="24"/>
      <c r="X11" s="21"/>
      <c r="Y11" s="21"/>
      <c r="Z11" s="24"/>
      <c r="AA11" s="24"/>
      <c r="AB11" s="24"/>
      <c r="AC11" s="24"/>
      <c r="AD11" s="24"/>
      <c r="AE11" s="24"/>
      <c r="AF11" s="24"/>
      <c r="AG11" s="24"/>
      <c r="AH11" s="25"/>
      <c r="AI11" s="25"/>
      <c r="AJ11" s="25"/>
      <c r="AK11" s="25"/>
      <c r="AL11" s="24"/>
      <c r="AM11" s="24"/>
      <c r="AN11" s="25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26" customFormat="1" ht="15.75" customHeight="1">
      <c r="A12" s="387" t="s">
        <v>5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9"/>
      <c r="X12" s="371" t="s">
        <v>6</v>
      </c>
      <c r="Y12" s="372"/>
      <c r="Z12" s="372"/>
      <c r="AA12" s="372"/>
      <c r="AB12" s="372"/>
      <c r="AC12" s="372"/>
      <c r="AD12" s="372"/>
      <c r="AE12" s="373"/>
      <c r="AF12" s="381" t="s">
        <v>212</v>
      </c>
      <c r="AG12" s="382"/>
      <c r="AH12" s="383"/>
      <c r="AI12" s="377" t="s">
        <v>213</v>
      </c>
      <c r="AJ12" s="378"/>
      <c r="AK12" s="378"/>
      <c r="AL12" s="378"/>
      <c r="AM12" s="378"/>
      <c r="AN12" s="378"/>
      <c r="AO12" s="399" t="s">
        <v>134</v>
      </c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1"/>
      <c r="BG12" s="393" t="s">
        <v>207</v>
      </c>
      <c r="BH12" s="394"/>
      <c r="BI12" s="394"/>
      <c r="BJ12" s="394"/>
      <c r="BK12" s="394"/>
      <c r="BL12" s="394"/>
      <c r="BM12" s="394"/>
      <c r="BN12" s="395"/>
      <c r="BO12" s="367" t="s">
        <v>193</v>
      </c>
      <c r="BP12" s="368"/>
    </row>
    <row r="13" spans="1:68" s="26" customFormat="1" ht="47.25" customHeight="1" thickBot="1">
      <c r="A13" s="390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2"/>
      <c r="X13" s="374"/>
      <c r="Y13" s="375"/>
      <c r="Z13" s="375"/>
      <c r="AA13" s="375"/>
      <c r="AB13" s="375"/>
      <c r="AC13" s="375"/>
      <c r="AD13" s="375"/>
      <c r="AE13" s="376"/>
      <c r="AF13" s="384"/>
      <c r="AG13" s="385"/>
      <c r="AH13" s="386"/>
      <c r="AI13" s="379"/>
      <c r="AJ13" s="380"/>
      <c r="AK13" s="380"/>
      <c r="AL13" s="380"/>
      <c r="AM13" s="380"/>
      <c r="AN13" s="380"/>
      <c r="AO13" s="402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404"/>
      <c r="BG13" s="396"/>
      <c r="BH13" s="397"/>
      <c r="BI13" s="397"/>
      <c r="BJ13" s="397"/>
      <c r="BK13" s="397"/>
      <c r="BL13" s="397"/>
      <c r="BM13" s="397"/>
      <c r="BN13" s="398"/>
      <c r="BO13" s="369"/>
      <c r="BP13" s="370"/>
    </row>
    <row r="14" spans="1:68" s="27" customFormat="1" ht="78" customHeight="1" thickBot="1">
      <c r="A14" s="241" t="s">
        <v>174</v>
      </c>
      <c r="B14" s="242" t="s">
        <v>173</v>
      </c>
      <c r="C14" s="243" t="s">
        <v>4</v>
      </c>
      <c r="D14" s="244" t="s">
        <v>175</v>
      </c>
      <c r="E14" s="245" t="s">
        <v>133</v>
      </c>
      <c r="F14" s="245" t="s">
        <v>199</v>
      </c>
      <c r="G14" s="245" t="s">
        <v>99</v>
      </c>
      <c r="H14" s="245" t="s">
        <v>197</v>
      </c>
      <c r="I14" s="245" t="s">
        <v>100</v>
      </c>
      <c r="J14" s="246" t="s">
        <v>210</v>
      </c>
      <c r="K14" s="247" t="s">
        <v>198</v>
      </c>
      <c r="L14" s="248" t="s">
        <v>211</v>
      </c>
      <c r="M14" s="248" t="s">
        <v>222</v>
      </c>
      <c r="N14" s="248" t="s">
        <v>98</v>
      </c>
      <c r="O14" s="248" t="s">
        <v>97</v>
      </c>
      <c r="P14" s="249" t="s">
        <v>176</v>
      </c>
      <c r="Q14" s="249" t="s">
        <v>2</v>
      </c>
      <c r="R14" s="247" t="s">
        <v>167</v>
      </c>
      <c r="S14" s="247" t="s">
        <v>166</v>
      </c>
      <c r="T14" s="247" t="s">
        <v>165</v>
      </c>
      <c r="U14" s="250" t="s">
        <v>104</v>
      </c>
      <c r="V14" s="251" t="s">
        <v>103</v>
      </c>
      <c r="W14" s="252" t="s">
        <v>89</v>
      </c>
      <c r="X14" s="253" t="s">
        <v>164</v>
      </c>
      <c r="Y14" s="248" t="s">
        <v>168</v>
      </c>
      <c r="Z14" s="249" t="s">
        <v>169</v>
      </c>
      <c r="AA14" s="254" t="s">
        <v>177</v>
      </c>
      <c r="AB14" s="255" t="s">
        <v>170</v>
      </c>
      <c r="AC14" s="255" t="s">
        <v>171</v>
      </c>
      <c r="AD14" s="255" t="s">
        <v>172</v>
      </c>
      <c r="AE14" s="256" t="s">
        <v>220</v>
      </c>
      <c r="AF14" s="257" t="s">
        <v>160</v>
      </c>
      <c r="AG14" s="258" t="s">
        <v>159</v>
      </c>
      <c r="AH14" s="259" t="s">
        <v>161</v>
      </c>
      <c r="AI14" s="257" t="s">
        <v>162</v>
      </c>
      <c r="AJ14" s="260" t="s">
        <v>163</v>
      </c>
      <c r="AK14" s="261" t="s">
        <v>214</v>
      </c>
      <c r="AL14" s="262" t="s">
        <v>159</v>
      </c>
      <c r="AM14" s="263" t="s">
        <v>221</v>
      </c>
      <c r="AN14" s="264" t="s">
        <v>195</v>
      </c>
      <c r="AO14" s="265" t="s">
        <v>218</v>
      </c>
      <c r="AP14" s="266" t="s">
        <v>233</v>
      </c>
      <c r="AQ14" s="266" t="s">
        <v>216</v>
      </c>
      <c r="AR14" s="266" t="s">
        <v>217</v>
      </c>
      <c r="AS14" s="266" t="s">
        <v>219</v>
      </c>
      <c r="AT14" s="266" t="s">
        <v>180</v>
      </c>
      <c r="AU14" s="266" t="s">
        <v>179</v>
      </c>
      <c r="AV14" s="266" t="s">
        <v>178</v>
      </c>
      <c r="AW14" s="266" t="s">
        <v>182</v>
      </c>
      <c r="AX14" s="266" t="s">
        <v>184</v>
      </c>
      <c r="AY14" s="266" t="s">
        <v>183</v>
      </c>
      <c r="AZ14" s="266" t="s">
        <v>185</v>
      </c>
      <c r="BA14" s="266" t="s">
        <v>227</v>
      </c>
      <c r="BB14" s="266" t="s">
        <v>186</v>
      </c>
      <c r="BC14" s="266" t="s">
        <v>187</v>
      </c>
      <c r="BD14" s="266" t="s">
        <v>188</v>
      </c>
      <c r="BE14" s="266" t="s">
        <v>189</v>
      </c>
      <c r="BF14" s="267" t="s">
        <v>190</v>
      </c>
      <c r="BG14" s="268" t="s">
        <v>208</v>
      </c>
      <c r="BH14" s="269" t="s">
        <v>228</v>
      </c>
      <c r="BI14" s="269" t="s">
        <v>229</v>
      </c>
      <c r="BJ14" s="269" t="s">
        <v>230</v>
      </c>
      <c r="BK14" s="269" t="s">
        <v>231</v>
      </c>
      <c r="BL14" s="269" t="s">
        <v>224</v>
      </c>
      <c r="BM14" s="270" t="s">
        <v>225</v>
      </c>
      <c r="BN14" s="271" t="s">
        <v>226</v>
      </c>
      <c r="BO14" s="272" t="s">
        <v>235</v>
      </c>
      <c r="BP14" s="273" t="s">
        <v>194</v>
      </c>
    </row>
    <row r="15" spans="1:71" s="80" customFormat="1" ht="16.5" customHeight="1">
      <c r="A15" s="235"/>
      <c r="B15" s="163"/>
      <c r="C15" s="236"/>
      <c r="D15" s="215"/>
      <c r="E15" s="163"/>
      <c r="F15" s="163"/>
      <c r="G15" s="236"/>
      <c r="H15" s="236"/>
      <c r="I15" s="236"/>
      <c r="J15" s="237"/>
      <c r="K15" s="166">
        <f>IF(ISNA(VLOOKUP($J$15,Hilfstabelle!$AC$1:$AF$26,4,FALSE)),"",VLOOKUP($J$15,Hilfstabelle!$AC$1:$AF$26,4,FALSE))</f>
      </c>
      <c r="L15" s="164"/>
      <c r="M15" s="164"/>
      <c r="N15" s="164"/>
      <c r="O15" s="164"/>
      <c r="P15" s="132"/>
      <c r="Q15" s="132"/>
      <c r="R15" s="165"/>
      <c r="S15" s="166"/>
      <c r="T15" s="166"/>
      <c r="U15" s="167">
        <f>IF(ISNA(VLOOKUP($R$15&amp;$T$15&amp;$S$15,Hilfstabelle!$D$2:$E$138,2,FALSE)),"",VLOOKUP($R$15&amp;$T$15&amp;$S$15,Hilfstabelle!$D$2:$E$138,2,FALSE))</f>
      </c>
      <c r="V15" s="168">
        <f>IF(ISNUMBER($U$15*$Q$15),($U$15*$Q$15),"")</f>
      </c>
      <c r="W15" s="352">
        <f>IF(ISNUMBER($P$15*$V$15),($P$15*$V$15),"")</f>
      </c>
      <c r="X15" s="356"/>
      <c r="Y15" s="164"/>
      <c r="Z15" s="221"/>
      <c r="AA15" s="132">
        <f>IF(P15&gt;0,P15,"")</f>
      </c>
      <c r="AB15" s="238">
        <v>300</v>
      </c>
      <c r="AC15" s="134">
        <v>0.8</v>
      </c>
      <c r="AD15" s="133">
        <v>0.75</v>
      </c>
      <c r="AE15" s="302">
        <f aca="true" t="shared" si="0" ref="AE15:AE54">IF(ISNUMBER(Z15*AA15),Z15*AA15,"")</f>
      </c>
      <c r="AF15" s="303">
        <v>0</v>
      </c>
      <c r="AG15" s="169">
        <f aca="true" t="shared" si="1" ref="AG15:AG54">IF(ISNUMBER(W15*(1-AF15)-AE15),W15*(1-AF15)-AE15,"")</f>
      </c>
      <c r="AH15" s="304">
        <f aca="true" t="shared" si="2" ref="AH15:AH55">IF(ISNUMBER(1-(W15-AG15)/W15),1-(W15-AG15)/W15,"")</f>
      </c>
      <c r="AI15" s="139">
        <f>IF(ISNA(VLOOKUP($J$15,$AI$63:$AM$88,4,FALSE)),"",VLOOKUP($J$15,$AI$63:$AM$88,4,FALSE))</f>
      </c>
      <c r="AJ15" s="139">
        <f>IF(ISNA(VLOOKUP($J$15,$AI$63:$AM$88,5,FALSE)),"",VLOOKUP($J$15,$AI$63:$AM$88,5,FALSE))</f>
      </c>
      <c r="AK15" s="96">
        <f>IF(ISNUMBER(AI15+AJ15-(AI15*AJ15)),AI15+AJ15-(AI15*AJ15),"")</f>
      </c>
      <c r="AL15" s="79">
        <f aca="true" t="shared" si="3" ref="AL15:AL54">IF(ISNUMBER(W15*(1-AF15)-AE15*(1-AK15)),W15*(1-AF15)-AE15*(1-AK15),"")</f>
      </c>
      <c r="AM15" s="79">
        <f>IF(ISNUMBER(AE15*(1-AK15)),AE15*(1-AK15),"")</f>
      </c>
      <c r="AN15" s="305">
        <f aca="true" t="shared" si="4" ref="AN15:AN54">IF(ISNUMBER(AL15/W15),AL15/W15,"")</f>
      </c>
      <c r="AO15" s="159"/>
      <c r="AP15" s="195">
        <f>IF(0&lt;(AO15*AP10),AO15*AP10,0)</f>
        <v>0</v>
      </c>
      <c r="AQ15" s="239"/>
      <c r="AR15" s="202"/>
      <c r="AS15" s="195"/>
      <c r="AT15" s="195">
        <f>IF(0&lt;(AS15*AT10),AS15*AT10,0)</f>
        <v>0</v>
      </c>
      <c r="AU15" s="144">
        <v>38</v>
      </c>
      <c r="AV15" s="159">
        <v>0.23</v>
      </c>
      <c r="AW15" s="143">
        <v>20</v>
      </c>
      <c r="AX15" s="145">
        <v>3.5</v>
      </c>
      <c r="AY15" s="145">
        <v>1</v>
      </c>
      <c r="AZ15" s="145">
        <v>5</v>
      </c>
      <c r="BA15" s="144">
        <v>50</v>
      </c>
      <c r="BB15" s="144">
        <v>3</v>
      </c>
      <c r="BC15" s="144">
        <v>8</v>
      </c>
      <c r="BD15" s="144">
        <v>1</v>
      </c>
      <c r="BE15" s="143">
        <v>30</v>
      </c>
      <c r="BF15" s="143">
        <v>50000</v>
      </c>
      <c r="BG15" s="207"/>
      <c r="BH15" s="207">
        <f>IF(ISNUMBER(((W15/1000*(1-AF15)*K15*AV15)*(1+AZ15/100*AW15/2))),((W15/1000*(1-AF15)*K15*AV15)*(1+AZ15/100*AW15/2)),"")</f>
      </c>
      <c r="BI15" s="207">
        <f>IF(ISNUMBER(((AM15/1000*K15*AV15)*(1+AZ15/100*AW15/2))),((AM15/1000*K15*AV15)*(1+AZ15/100*AW15/2)),"")</f>
      </c>
      <c r="BJ15" s="207">
        <f>IF(ISNUMBER(BH15*AW15),(BH15*AW15),"")</f>
      </c>
      <c r="BK15" s="207">
        <f>IF(ISNUMBER((BI15*AW15)),(BI15*AW15),"")</f>
      </c>
      <c r="BL15" s="207">
        <f>IF(ISNUMBER((AA15*(AO15+AU15+AP15)+AR15*(AS15+AT15)+BG15)*(1-BE15/100)),((AA15*(AO15+AU15+AP15)+AR15*(AS15+AT15)+BG15)*(1-BE15/100)),"")</f>
      </c>
      <c r="BM15" s="240">
        <f>IF(ISNUMBER(BL15/(BH15-BI15)),(BL15/(BH15-BI15)),"")</f>
      </c>
      <c r="BN15" s="308">
        <f>IF(ISNUMBER(BJ15-BK15-BL15),(BJ15-BK15-BL15),"")</f>
      </c>
      <c r="BO15" s="348">
        <f aca="true" t="shared" si="5" ref="BO15:BO54">IF(ISNUMBER(((AA15*(AO15+AU15+AP15)+AR15*(AS15+AT15)))/(AL15/1000*K15*0.59*0.02)),((AA15*(AO15+AU15+AP15)+AR15*(AS15+AT15)))/(AL15/1000*K15*0.59*0.02),"")</f>
      </c>
      <c r="BP15" s="344">
        <f aca="true" t="shared" si="6" ref="BP15:BP54">IF(ISNUMBER((AA15*(AO15+AU15+AP15)+AR15*(AS15+AT15))/(AL15/1000*K15*0.23)),(AA15*(AO15+AU15+AP15)+AR15*(AS15+AT15))/(AL15/1000*K15*0.23),"")</f>
      </c>
      <c r="BR15" s="95"/>
      <c r="BS15" s="95"/>
    </row>
    <row r="16" spans="1:68" s="80" customFormat="1" ht="16.5" customHeight="1">
      <c r="A16" s="151"/>
      <c r="B16" s="115"/>
      <c r="C16" s="115"/>
      <c r="D16" s="213"/>
      <c r="E16" s="115"/>
      <c r="F16" s="115"/>
      <c r="G16" s="115"/>
      <c r="H16" s="115"/>
      <c r="I16" s="115"/>
      <c r="J16" s="187"/>
      <c r="K16" s="125">
        <f>IF(ISNA(VLOOKUP($J$16,Hilfstabelle!$AC$1:$AF$26,4,FALSE)),"",VLOOKUP($J$16,Hilfstabelle!$AC$1:$AF$26,4,FALSE))</f>
      </c>
      <c r="L16" s="116"/>
      <c r="M16" s="116"/>
      <c r="N16" s="116"/>
      <c r="O16" s="116"/>
      <c r="P16" s="117"/>
      <c r="Q16" s="117"/>
      <c r="R16" s="118"/>
      <c r="S16" s="125"/>
      <c r="T16" s="125"/>
      <c r="U16" s="126">
        <f>IF(ISNA(VLOOKUP($R$16&amp;$T$16&amp;$S$16,Hilfstabelle!$D$2:$E$138,2,FALSE)),"",VLOOKUP($R$16&amp;$T$16&amp;$S$16,Hilfstabelle!$D$2:$E$138,2,FALSE))</f>
      </c>
      <c r="V16" s="78">
        <f>IF(ISNUMBER($U$16*$Q$16),($U$16*$Q$16),"")</f>
      </c>
      <c r="W16" s="353">
        <f>IF(ISNUMBER($P$16*$V$16),($P$16*$V$16),"")</f>
      </c>
      <c r="X16" s="357"/>
      <c r="Y16" s="116"/>
      <c r="Z16" s="199"/>
      <c r="AA16" s="117">
        <f>IF(P16&gt;0,P16,"")</f>
      </c>
      <c r="AB16" s="186">
        <v>300</v>
      </c>
      <c r="AC16" s="136">
        <v>0.8</v>
      </c>
      <c r="AD16" s="135">
        <v>0.75</v>
      </c>
      <c r="AE16" s="291">
        <f t="shared" si="0"/>
      </c>
      <c r="AF16" s="292">
        <v>0</v>
      </c>
      <c r="AG16" s="102">
        <f t="shared" si="1"/>
      </c>
      <c r="AH16" s="293">
        <f t="shared" si="2"/>
      </c>
      <c r="AI16" s="140">
        <f>IF(ISNA(VLOOKUP($J$16,$AI$63:$AM$88,4,FALSE)),"",VLOOKUP($J$16,$AI$63:$AM$88,4,FALSE))</f>
      </c>
      <c r="AJ16" s="140">
        <f>IF(ISNA(VLOOKUP($J$16,$AI$63:$AM$88,5,FALSE)),"",VLOOKUP($J$16,$AI$63:$AM$88,5,FALSE))</f>
      </c>
      <c r="AK16" s="97">
        <f aca="true" t="shared" si="7" ref="AK16:AK54">IF(ISNUMBER(AI16+AJ16-(AI16*AJ16)),AI16+AJ16-(AI16*AJ16),"")</f>
      </c>
      <c r="AL16" s="81">
        <f t="shared" si="3"/>
      </c>
      <c r="AM16" s="81">
        <f aca="true" t="shared" si="8" ref="AM16:AM54">IF(ISNUMBER(AE16*(1-AK16)),AE16*(1-AK16),"")</f>
      </c>
      <c r="AN16" s="294">
        <f t="shared" si="4"/>
      </c>
      <c r="AO16" s="160"/>
      <c r="AP16" s="193">
        <f>IF(0&lt;(AO16*AP10),AO16*AP10,0)</f>
        <v>0</v>
      </c>
      <c r="AQ16" s="204"/>
      <c r="AR16" s="200"/>
      <c r="AS16" s="193"/>
      <c r="AT16" s="193">
        <f>IF(0&lt;(AS16*AT10),AS16*AT10,0)</f>
        <v>0</v>
      </c>
      <c r="AU16" s="146">
        <v>38</v>
      </c>
      <c r="AV16" s="160">
        <v>0.23</v>
      </c>
      <c r="AW16" s="142">
        <v>20</v>
      </c>
      <c r="AX16" s="147">
        <v>3.5</v>
      </c>
      <c r="AY16" s="147">
        <v>1</v>
      </c>
      <c r="AZ16" s="147">
        <v>5</v>
      </c>
      <c r="BA16" s="146">
        <v>50</v>
      </c>
      <c r="BB16" s="146">
        <v>3</v>
      </c>
      <c r="BC16" s="146">
        <v>8</v>
      </c>
      <c r="BD16" s="146">
        <v>1</v>
      </c>
      <c r="BE16" s="142">
        <v>30</v>
      </c>
      <c r="BF16" s="142">
        <v>50000</v>
      </c>
      <c r="BG16" s="205"/>
      <c r="BH16" s="205">
        <f>IF(ISNUMBER(((W16/1000*(1-AF16)*K16*AV16)*(1+AZ16/100*AW16/2))),((W16/1000*(1-AF16)*K16*AV16)*(1+AZ16/100*AW16/2)),"")</f>
      </c>
      <c r="BI16" s="205">
        <f>IF(ISNUMBER(((AM16/1000*K16*AV16)*(1+AZ16/100*AW16/2))),((AM16/1000*K16*AV16)*(1+AZ16/100*AW16/2)),"")</f>
      </c>
      <c r="BJ16" s="205">
        <f>IF(ISNUMBER(BH16*AW16),(BH16*AW16),"")</f>
      </c>
      <c r="BK16" s="205">
        <f>IF(ISNUMBER((BI16*AW16)),(BI16*AW16),"")</f>
      </c>
      <c r="BL16" s="205">
        <f>IF(ISNUMBER((AA16*(AO16+AU16+AP16)+AR16*(AS16+AT16)+BG16)*(1-BE16/100)),((AA16*(AO16+AU16+AP16)+AR16*(AS16+AT16)+BG16)*(1-BE16/100)),"")</f>
      </c>
      <c r="BM16" s="210">
        <f>IF(ISNUMBER(BL16/(BH16-BI16)),(BL16/(BH16-BI16)),"")</f>
      </c>
      <c r="BN16" s="295">
        <f>IF(ISNUMBER(BJ16-BK16-BL16),(BJ16-BK16-BL16),"")</f>
      </c>
      <c r="BO16" s="349">
        <f t="shared" si="5"/>
      </c>
      <c r="BP16" s="345">
        <f t="shared" si="6"/>
      </c>
    </row>
    <row r="17" spans="1:68" s="80" customFormat="1" ht="16.5" customHeight="1">
      <c r="A17" s="114"/>
      <c r="B17" s="115"/>
      <c r="C17" s="115"/>
      <c r="D17" s="213"/>
      <c r="E17" s="115"/>
      <c r="F17" s="115"/>
      <c r="G17" s="115"/>
      <c r="H17" s="115"/>
      <c r="I17" s="115"/>
      <c r="J17" s="187"/>
      <c r="K17" s="125">
        <f>IF(ISNA(VLOOKUP($J$17,Hilfstabelle!$AC$1:$AF$26,4,FALSE)),"",VLOOKUP($J$17,Hilfstabelle!$AC$1:$AF$26,4,FALSE))</f>
      </c>
      <c r="L17" s="116"/>
      <c r="M17" s="116"/>
      <c r="N17" s="116"/>
      <c r="O17" s="116"/>
      <c r="P17" s="117"/>
      <c r="Q17" s="117"/>
      <c r="R17" s="118"/>
      <c r="S17" s="125"/>
      <c r="T17" s="125"/>
      <c r="U17" s="126">
        <f>IF(ISNA(VLOOKUP($R$17&amp;$T$17&amp;$S$17,Hilfstabelle!$D$2:$E$138,2,FALSE)),"",VLOOKUP($R$17&amp;$T$17&amp;$S$17,Hilfstabelle!$D$2:$E$138,2,FALSE))</f>
      </c>
      <c r="V17" s="78">
        <f>IF(ISNUMBER($U$17*$Q$17),($U$17*$Q$17),"")</f>
      </c>
      <c r="W17" s="353">
        <f>IF(ISNUMBER($P$17*$V$17),($P$17*$V$17),"")</f>
      </c>
      <c r="X17" s="357"/>
      <c r="Y17" s="116"/>
      <c r="Z17" s="199"/>
      <c r="AA17" s="117">
        <f>IF(P17&gt;0,P17,"")</f>
      </c>
      <c r="AB17" s="135">
        <v>300</v>
      </c>
      <c r="AC17" s="136">
        <v>0.8</v>
      </c>
      <c r="AD17" s="135">
        <v>0.75</v>
      </c>
      <c r="AE17" s="291">
        <f t="shared" si="0"/>
      </c>
      <c r="AF17" s="292">
        <v>0</v>
      </c>
      <c r="AG17" s="102">
        <f t="shared" si="1"/>
      </c>
      <c r="AH17" s="293">
        <f t="shared" si="2"/>
      </c>
      <c r="AI17" s="140">
        <f>IF(ISNA(VLOOKUP($J$17,$AI$63:$AM$88,4,FALSE)),"",VLOOKUP($J$17,$AI$63:$AM$88,4,FALSE))</f>
      </c>
      <c r="AJ17" s="140">
        <f>IF(ISNA(VLOOKUP($J$17,$AI$63:$AM$88,5,FALSE)),"",VLOOKUP($J$17,$AI$63:$AM$88,5,FALSE))</f>
      </c>
      <c r="AK17" s="97">
        <f t="shared" si="7"/>
      </c>
      <c r="AL17" s="81">
        <f t="shared" si="3"/>
      </c>
      <c r="AM17" s="81">
        <f t="shared" si="8"/>
      </c>
      <c r="AN17" s="294">
        <f t="shared" si="4"/>
      </c>
      <c r="AO17" s="160"/>
      <c r="AP17" s="193">
        <f>IF(0&lt;(AO17*AP10),AO17*AP10,0)</f>
        <v>0</v>
      </c>
      <c r="AQ17" s="204"/>
      <c r="AR17" s="200"/>
      <c r="AS17" s="193"/>
      <c r="AT17" s="193">
        <f>IF(0&lt;(AS17*AT10),AS17*AT10,0)</f>
        <v>0</v>
      </c>
      <c r="AU17" s="146">
        <v>38</v>
      </c>
      <c r="AV17" s="160">
        <v>0.23</v>
      </c>
      <c r="AW17" s="142">
        <v>20</v>
      </c>
      <c r="AX17" s="147">
        <v>3.5</v>
      </c>
      <c r="AY17" s="147">
        <v>1</v>
      </c>
      <c r="AZ17" s="147">
        <v>5</v>
      </c>
      <c r="BA17" s="146">
        <v>50</v>
      </c>
      <c r="BB17" s="146">
        <v>3</v>
      </c>
      <c r="BC17" s="146">
        <v>8</v>
      </c>
      <c r="BD17" s="146">
        <v>1</v>
      </c>
      <c r="BE17" s="142">
        <v>30</v>
      </c>
      <c r="BF17" s="142">
        <v>50000</v>
      </c>
      <c r="BG17" s="205"/>
      <c r="BH17" s="205">
        <f>IF(ISNUMBER(((W17/1000*(1-AF17)*K17*AV17)*(1+AZ17/100*AW17/2))),((W17/1000*(1-AF17)*K17*AV17)*(1+AZ17/100*AW17/2)),"")</f>
      </c>
      <c r="BI17" s="205">
        <f>IF(ISNUMBER(((AM17/1000*K17*AV17)*(1+AZ17/100*AW17/2))),((AM17/1000*K17*AV17)*(1+AZ17/100*AW17/2)),"")</f>
      </c>
      <c r="BJ17" s="205">
        <f>IF(ISNUMBER(BH17*AW17),(BH17*AW17),"")</f>
      </c>
      <c r="BK17" s="205">
        <f>IF(ISNUMBER((BI17*AW17)),(BI17*AW17),"")</f>
      </c>
      <c r="BL17" s="205">
        <f>IF(ISNUMBER((AA17*(AO17+AU17+AP17)+AR17*(AS17+AT17)+BG17)*(1-BE17/100)),((AA17*(AO17+AU17+AP17)+AR17*(AS17+AT17)+BG17)*(1-BE17/100)),"")</f>
      </c>
      <c r="BM17" s="210">
        <f>IF(ISNUMBER(BL17/(BH17-BI17)),(BL17/(BH17-BI17)),"")</f>
      </c>
      <c r="BN17" s="295">
        <f>IF(ISNUMBER(BJ17-BK17-BL17),(BJ17-BK17-BL17),"")</f>
      </c>
      <c r="BO17" s="349">
        <f t="shared" si="5"/>
      </c>
      <c r="BP17" s="345">
        <f t="shared" si="6"/>
      </c>
    </row>
    <row r="18" spans="1:71" s="80" customFormat="1" ht="16.5" customHeight="1">
      <c r="A18" s="114"/>
      <c r="B18" s="115"/>
      <c r="C18" s="115"/>
      <c r="D18" s="213"/>
      <c r="E18" s="115"/>
      <c r="F18" s="115"/>
      <c r="G18" s="115"/>
      <c r="H18" s="115"/>
      <c r="I18" s="115"/>
      <c r="J18" s="187"/>
      <c r="K18" s="125">
        <f>IF(ISNA(VLOOKUP($J$18,Hilfstabelle!$AC$1:$AF$26,4,FALSE)),"",VLOOKUP($J$18,Hilfstabelle!$AC$1:$AF$26,4,FALSE))</f>
      </c>
      <c r="L18" s="116"/>
      <c r="M18" s="116"/>
      <c r="N18" s="116"/>
      <c r="O18" s="116"/>
      <c r="P18" s="117"/>
      <c r="Q18" s="117"/>
      <c r="R18" s="118"/>
      <c r="S18" s="125"/>
      <c r="T18" s="125"/>
      <c r="U18" s="126">
        <f>IF(ISNA(VLOOKUP($R$18&amp;$T$18&amp;$S$18,Hilfstabelle!$D$2:$E$138,2,FALSE)),"",VLOOKUP($R$18&amp;$T$18&amp;$S$18,Hilfstabelle!$D$2:$E$138,2,FALSE))</f>
      </c>
      <c r="V18" s="78">
        <f>IF(ISNUMBER($U$18*$Q$18),($U$18*$Q$18),"")</f>
      </c>
      <c r="W18" s="353">
        <f>IF(ISNUMBER($P$18*$V$18),($P$18*$V$18),"")</f>
      </c>
      <c r="X18" s="357"/>
      <c r="Y18" s="116"/>
      <c r="Z18" s="199"/>
      <c r="AA18" s="117">
        <f>IF(P18&gt;0,P18,"")</f>
      </c>
      <c r="AB18" s="135">
        <v>300</v>
      </c>
      <c r="AC18" s="136">
        <v>0.8</v>
      </c>
      <c r="AD18" s="135">
        <v>0.75</v>
      </c>
      <c r="AE18" s="291">
        <f t="shared" si="0"/>
      </c>
      <c r="AF18" s="292">
        <v>0</v>
      </c>
      <c r="AG18" s="102">
        <f t="shared" si="1"/>
      </c>
      <c r="AH18" s="293">
        <f t="shared" si="2"/>
      </c>
      <c r="AI18" s="140">
        <f>IF(ISNA(VLOOKUP($J$18,$AI$63:$AM$88,4,FALSE)),"",VLOOKUP($J$18,$AI$63:$AM$88,4,FALSE))</f>
      </c>
      <c r="AJ18" s="140">
        <f>IF(ISNA(VLOOKUP($J$18,$AI$63:$AM$88,5,FALSE)),"",VLOOKUP($J$18,$AI$63:$AM$88,5,FALSE))</f>
      </c>
      <c r="AK18" s="97">
        <f t="shared" si="7"/>
      </c>
      <c r="AL18" s="81">
        <f t="shared" si="3"/>
      </c>
      <c r="AM18" s="81">
        <f t="shared" si="8"/>
      </c>
      <c r="AN18" s="294">
        <f t="shared" si="4"/>
      </c>
      <c r="AO18" s="160"/>
      <c r="AP18" s="193">
        <f>IF(0&lt;(AO18*AP10),AO18*AP10,0)</f>
        <v>0</v>
      </c>
      <c r="AQ18" s="204"/>
      <c r="AR18" s="200"/>
      <c r="AS18" s="193"/>
      <c r="AT18" s="193">
        <f>IF(0&lt;(AS18*AT10),AS18*AT10,0)</f>
        <v>0</v>
      </c>
      <c r="AU18" s="146">
        <v>38</v>
      </c>
      <c r="AV18" s="160">
        <v>0.23</v>
      </c>
      <c r="AW18" s="142">
        <v>20</v>
      </c>
      <c r="AX18" s="147">
        <v>3.5</v>
      </c>
      <c r="AY18" s="147">
        <v>1</v>
      </c>
      <c r="AZ18" s="147">
        <v>5</v>
      </c>
      <c r="BA18" s="146">
        <v>50</v>
      </c>
      <c r="BB18" s="146">
        <v>3</v>
      </c>
      <c r="BC18" s="146">
        <v>8</v>
      </c>
      <c r="BD18" s="146">
        <v>1</v>
      </c>
      <c r="BE18" s="142">
        <v>30</v>
      </c>
      <c r="BF18" s="142">
        <v>50000</v>
      </c>
      <c r="BG18" s="205"/>
      <c r="BH18" s="205">
        <f aca="true" t="shared" si="9" ref="BH18:BH54">IF(ISNUMBER(((W18/1000*(1-AF18)*K18*AV18)*(1+AZ18/100*AW18/2))),((W18/1000*(1-AF18)*K18*AV18)*(1+AZ18/100*AW18/2)),"")</f>
      </c>
      <c r="BI18" s="205">
        <f aca="true" t="shared" si="10" ref="BI18:BI54">IF(ISNUMBER(((AM18/1000*K18*AV18)*(1+AZ18/100*AW18/2))),((AM18/1000*K18*AV18)*(1+AZ18/100*AW18/2)),"")</f>
      </c>
      <c r="BJ18" s="205">
        <f aca="true" t="shared" si="11" ref="BJ18:BJ54">IF(ISNUMBER(BH18*AW18),(BH18*AW18),"")</f>
      </c>
      <c r="BK18" s="205">
        <f aca="true" t="shared" si="12" ref="BK18:BK54">IF(ISNUMBER((BI18*AW18)),(BI18*AW18),"")</f>
      </c>
      <c r="BL18" s="205">
        <f aca="true" t="shared" si="13" ref="BL18:BL54">IF(ISNUMBER((AA18*(AO18+AU18+AP18)+AR18*(AS18+AT18)+BG18)*(1-BE18/100)),((AA18*(AO18+AU18+AP18)+AR18*(AS18+AT18)+BG18)*(1-BE18/100)),"")</f>
      </c>
      <c r="BM18" s="210">
        <f aca="true" t="shared" si="14" ref="BM18:BM55">IF(ISNUMBER(BL18/(BH18-BI18)),(BL18/(BH18-BI18)),"")</f>
      </c>
      <c r="BN18" s="210">
        <f aca="true" t="shared" si="15" ref="BN18:BN55">IF(ISNUMBER(BJ18-BK18-BL18),(BJ18-BK18-BL18),"")</f>
      </c>
      <c r="BO18" s="349">
        <f t="shared" si="5"/>
      </c>
      <c r="BP18" s="345">
        <f t="shared" si="6"/>
      </c>
      <c r="BR18" s="95"/>
      <c r="BS18" s="95"/>
    </row>
    <row r="19" spans="1:68" s="80" customFormat="1" ht="16.5" customHeight="1">
      <c r="A19" s="114"/>
      <c r="B19" s="115"/>
      <c r="C19" s="115"/>
      <c r="D19" s="213"/>
      <c r="E19" s="115"/>
      <c r="F19" s="115"/>
      <c r="G19" s="115"/>
      <c r="H19" s="115"/>
      <c r="I19" s="115"/>
      <c r="J19" s="187"/>
      <c r="K19" s="125">
        <f>IF(ISNA(VLOOKUP($J$19,Hilfstabelle!$AC$1:$AF$26,4,FALSE)),"",VLOOKUP($J$19,Hilfstabelle!$AC$1:$AF$26,4,FALSE))</f>
      </c>
      <c r="L19" s="116"/>
      <c r="M19" s="116"/>
      <c r="N19" s="116"/>
      <c r="O19" s="116"/>
      <c r="P19" s="117"/>
      <c r="Q19" s="117"/>
      <c r="R19" s="118"/>
      <c r="S19" s="125"/>
      <c r="T19" s="125"/>
      <c r="U19" s="126">
        <f>IF(ISNA(VLOOKUP($R$19&amp;$T$19&amp;$S$19,Hilfstabelle!$D$2:$E$138,2,FALSE)),"",VLOOKUP($R$19&amp;$T$19&amp;$S$19,Hilfstabelle!$D$2:$E$138,2,FALSE))</f>
      </c>
      <c r="V19" s="78">
        <f>IF(ISNUMBER($U$19*$Q$19),($U$19*$Q$19),"")</f>
      </c>
      <c r="W19" s="353">
        <f>IF(ISNUMBER($P$19*$V$19),($P$19*$V$19),"")</f>
      </c>
      <c r="X19" s="357"/>
      <c r="Y19" s="116"/>
      <c r="Z19" s="199"/>
      <c r="AA19" s="117">
        <f>IF(P19&gt;0,P19,"")</f>
      </c>
      <c r="AB19" s="135">
        <v>300</v>
      </c>
      <c r="AC19" s="136">
        <v>0.8</v>
      </c>
      <c r="AD19" s="135">
        <v>0.75</v>
      </c>
      <c r="AE19" s="291">
        <f t="shared" si="0"/>
      </c>
      <c r="AF19" s="292">
        <v>0</v>
      </c>
      <c r="AG19" s="102">
        <f t="shared" si="1"/>
      </c>
      <c r="AH19" s="293">
        <f t="shared" si="2"/>
      </c>
      <c r="AI19" s="140">
        <f>IF(ISNA(VLOOKUP($J$19,$AI$63:$AM$88,4,FALSE)),"",VLOOKUP($J$19,$AI$63:$AM$88,4,FALSE))</f>
      </c>
      <c r="AJ19" s="140">
        <f>IF(ISNA(VLOOKUP($J$19,$AI$63:$AM$88,5,FALSE)),"",VLOOKUP($J$19,$AI$63:$AM$88,5,FALSE))</f>
      </c>
      <c r="AK19" s="97">
        <f t="shared" si="7"/>
      </c>
      <c r="AL19" s="81">
        <f t="shared" si="3"/>
      </c>
      <c r="AM19" s="81">
        <f t="shared" si="8"/>
      </c>
      <c r="AN19" s="294">
        <f t="shared" si="4"/>
      </c>
      <c r="AO19" s="160"/>
      <c r="AP19" s="193">
        <f>IF(0&lt;(AO19*AP10),AO19*AP10,0)</f>
        <v>0</v>
      </c>
      <c r="AQ19" s="142"/>
      <c r="AR19" s="200"/>
      <c r="AS19" s="193"/>
      <c r="AT19" s="193">
        <f>IF(0&lt;(AS19*AT10),AS19*AT10,0)</f>
        <v>0</v>
      </c>
      <c r="AU19" s="146">
        <v>38</v>
      </c>
      <c r="AV19" s="160">
        <v>0.23</v>
      </c>
      <c r="AW19" s="142">
        <v>20</v>
      </c>
      <c r="AX19" s="147">
        <v>3.5</v>
      </c>
      <c r="AY19" s="147">
        <v>1</v>
      </c>
      <c r="AZ19" s="147">
        <v>5</v>
      </c>
      <c r="BA19" s="146">
        <v>50</v>
      </c>
      <c r="BB19" s="146">
        <v>3</v>
      </c>
      <c r="BC19" s="146">
        <v>8</v>
      </c>
      <c r="BD19" s="146">
        <v>1</v>
      </c>
      <c r="BE19" s="142">
        <v>30</v>
      </c>
      <c r="BF19" s="142">
        <v>50000</v>
      </c>
      <c r="BG19" s="205"/>
      <c r="BH19" s="205">
        <f t="shared" si="9"/>
      </c>
      <c r="BI19" s="205">
        <f t="shared" si="10"/>
      </c>
      <c r="BJ19" s="205">
        <f t="shared" si="11"/>
      </c>
      <c r="BK19" s="205">
        <f t="shared" si="12"/>
      </c>
      <c r="BL19" s="205">
        <f t="shared" si="13"/>
      </c>
      <c r="BM19" s="210">
        <f t="shared" si="14"/>
      </c>
      <c r="BN19" s="210">
        <f t="shared" si="15"/>
      </c>
      <c r="BO19" s="349">
        <f t="shared" si="5"/>
      </c>
      <c r="BP19" s="345">
        <f t="shared" si="6"/>
      </c>
    </row>
    <row r="20" spans="1:68" s="80" customFormat="1" ht="16.5" customHeight="1">
      <c r="A20" s="114"/>
      <c r="B20" s="115"/>
      <c r="C20" s="115"/>
      <c r="D20" s="213"/>
      <c r="E20" s="115"/>
      <c r="F20" s="115"/>
      <c r="G20" s="115"/>
      <c r="H20" s="115"/>
      <c r="I20" s="115"/>
      <c r="J20" s="187"/>
      <c r="K20" s="125"/>
      <c r="L20" s="116"/>
      <c r="M20" s="116"/>
      <c r="N20" s="116"/>
      <c r="O20" s="116"/>
      <c r="P20" s="117"/>
      <c r="Q20" s="117"/>
      <c r="R20" s="118"/>
      <c r="S20" s="125"/>
      <c r="T20" s="125"/>
      <c r="U20" s="126">
        <f>IF(ISNA(VLOOKUP($R$20&amp;$T$20&amp;$S$20,Hilfstabelle!$D$2:$E$138,2,FALSE)),"",VLOOKUP($R$20&amp;$T$20&amp;$S$20,Hilfstabelle!$D$2:$E$138,2,FALSE))</f>
      </c>
      <c r="V20" s="78">
        <f>IF(ISNUMBER($U$20*$Q$20),($U$20*$Q$20),"")</f>
      </c>
      <c r="W20" s="353">
        <f>IF(ISNUMBER($P$20*$V$20),($P$20*$V$20),"")</f>
      </c>
      <c r="X20" s="357"/>
      <c r="Y20" s="116"/>
      <c r="Z20" s="117"/>
      <c r="AA20" s="117">
        <f aca="true" t="shared" si="16" ref="AA20:AA54">IF(P20&gt;0,P20,"")</f>
      </c>
      <c r="AB20" s="135">
        <v>300</v>
      </c>
      <c r="AC20" s="136">
        <v>0.8</v>
      </c>
      <c r="AD20" s="135">
        <v>0.75</v>
      </c>
      <c r="AE20" s="291">
        <f t="shared" si="0"/>
      </c>
      <c r="AF20" s="292">
        <v>0</v>
      </c>
      <c r="AG20" s="102">
        <f t="shared" si="1"/>
      </c>
      <c r="AH20" s="293">
        <f t="shared" si="2"/>
      </c>
      <c r="AI20" s="140">
        <f>IF(ISNA(VLOOKUP($J$20,$AI$63:$AM$88,4,FALSE)),"",VLOOKUP($J$20,$AI$63:$AM$88,4,FALSE))</f>
      </c>
      <c r="AJ20" s="140">
        <f>IF(ISNA(VLOOKUP($J$20,$AI$63:$AM$88,5,FALSE)),"",VLOOKUP($J$20,$AI$63:$AM$88,5,FALSE))</f>
      </c>
      <c r="AK20" s="97">
        <f t="shared" si="7"/>
      </c>
      <c r="AL20" s="81">
        <f t="shared" si="3"/>
      </c>
      <c r="AM20" s="81">
        <f t="shared" si="8"/>
      </c>
      <c r="AN20" s="294">
        <f t="shared" si="4"/>
      </c>
      <c r="AO20" s="160"/>
      <c r="AP20" s="193">
        <f>IF(0&lt;(AO20*AP10),AO20*AP10,0)</f>
        <v>0</v>
      </c>
      <c r="AQ20" s="142"/>
      <c r="AR20" s="200"/>
      <c r="AS20" s="193"/>
      <c r="AT20" s="193">
        <f>IF(0&lt;(AS20*AT10),AS20*AT10,0)</f>
        <v>0</v>
      </c>
      <c r="AU20" s="146">
        <v>38</v>
      </c>
      <c r="AV20" s="160">
        <v>0.23</v>
      </c>
      <c r="AW20" s="142">
        <v>20</v>
      </c>
      <c r="AX20" s="147">
        <v>3.5</v>
      </c>
      <c r="AY20" s="147">
        <v>1</v>
      </c>
      <c r="AZ20" s="147">
        <v>5</v>
      </c>
      <c r="BA20" s="146">
        <v>50</v>
      </c>
      <c r="BB20" s="146">
        <v>3</v>
      </c>
      <c r="BC20" s="146">
        <v>8</v>
      </c>
      <c r="BD20" s="146">
        <v>1</v>
      </c>
      <c r="BE20" s="142">
        <v>30</v>
      </c>
      <c r="BF20" s="142">
        <v>50000</v>
      </c>
      <c r="BG20" s="205"/>
      <c r="BH20" s="205">
        <f t="shared" si="9"/>
      </c>
      <c r="BI20" s="205">
        <f t="shared" si="10"/>
      </c>
      <c r="BJ20" s="205">
        <f t="shared" si="11"/>
      </c>
      <c r="BK20" s="205">
        <f t="shared" si="12"/>
      </c>
      <c r="BL20" s="205">
        <f t="shared" si="13"/>
      </c>
      <c r="BM20" s="210">
        <f t="shared" si="14"/>
      </c>
      <c r="BN20" s="210">
        <f t="shared" si="15"/>
      </c>
      <c r="BO20" s="349">
        <f t="shared" si="5"/>
      </c>
      <c r="BP20" s="345">
        <f t="shared" si="6"/>
      </c>
    </row>
    <row r="21" spans="1:68" s="80" customFormat="1" ht="16.5" customHeight="1">
      <c r="A21" s="114"/>
      <c r="B21" s="115"/>
      <c r="C21" s="115"/>
      <c r="D21" s="213"/>
      <c r="E21" s="115"/>
      <c r="F21" s="115"/>
      <c r="G21" s="115"/>
      <c r="H21" s="115"/>
      <c r="I21" s="115"/>
      <c r="J21" s="187"/>
      <c r="K21" s="125">
        <f>IF(ISNA(VLOOKUP($J$21,Hilfstabelle!$AC$1:$AF$26,4,FALSE)),"",VLOOKUP($J$21,Hilfstabelle!$AC$1:$AF$26,4,FALSE))</f>
      </c>
      <c r="L21" s="116"/>
      <c r="M21" s="116"/>
      <c r="N21" s="116"/>
      <c r="O21" s="116"/>
      <c r="P21" s="117"/>
      <c r="Q21" s="117"/>
      <c r="R21" s="118"/>
      <c r="S21" s="125"/>
      <c r="T21" s="125"/>
      <c r="U21" s="126">
        <f>IF(ISNA(VLOOKUP($R$21&amp;$T$21&amp;$S$21,Hilfstabelle!$D$2:$E$138,2,FALSE)),"",VLOOKUP($R$21&amp;$T$21&amp;$S$21,Hilfstabelle!$D$2:$E$138,2,FALSE))</f>
      </c>
      <c r="V21" s="78">
        <f>IF(ISNUMBER($U$21*$Q$21),($U$21*$Q$21),"")</f>
      </c>
      <c r="W21" s="353">
        <f>IF(ISNUMBER($P$21*$V$21),($P$21*$V$21),"")</f>
      </c>
      <c r="X21" s="357"/>
      <c r="Y21" s="116"/>
      <c r="Z21" s="117"/>
      <c r="AA21" s="117">
        <f t="shared" si="16"/>
      </c>
      <c r="AB21" s="135">
        <v>300</v>
      </c>
      <c r="AC21" s="136">
        <v>0.8</v>
      </c>
      <c r="AD21" s="135">
        <v>0.75</v>
      </c>
      <c r="AE21" s="291">
        <f t="shared" si="0"/>
      </c>
      <c r="AF21" s="292">
        <v>0</v>
      </c>
      <c r="AG21" s="102">
        <f t="shared" si="1"/>
      </c>
      <c r="AH21" s="293">
        <f t="shared" si="2"/>
      </c>
      <c r="AI21" s="140">
        <f>IF(ISNA(VLOOKUP($J$21,$AI$63:$AM$88,4,FALSE)),"",VLOOKUP($J$21,$AI$63:$AM$88,4,FALSE))</f>
      </c>
      <c r="AJ21" s="140">
        <f>IF(ISNA(VLOOKUP($J$21,$AI$63:$AM$88,5,FALSE)),"",VLOOKUP($J$21,$AI$63:$AM$88,5,FALSE))</f>
      </c>
      <c r="AK21" s="97">
        <f t="shared" si="7"/>
      </c>
      <c r="AL21" s="81">
        <f t="shared" si="3"/>
      </c>
      <c r="AM21" s="81">
        <f t="shared" si="8"/>
      </c>
      <c r="AN21" s="294">
        <f t="shared" si="4"/>
      </c>
      <c r="AO21" s="160"/>
      <c r="AP21" s="193">
        <f>IF(0&lt;(AO21*AP10),AO21*AP10,0)</f>
        <v>0</v>
      </c>
      <c r="AQ21" s="142"/>
      <c r="AR21" s="200"/>
      <c r="AS21" s="193"/>
      <c r="AT21" s="193">
        <f>IF(0&lt;(AS21*AT10),AS21*AT10,0)</f>
        <v>0</v>
      </c>
      <c r="AU21" s="146">
        <v>38</v>
      </c>
      <c r="AV21" s="160">
        <v>0.23</v>
      </c>
      <c r="AW21" s="142">
        <v>20</v>
      </c>
      <c r="AX21" s="147">
        <v>3.5</v>
      </c>
      <c r="AY21" s="147">
        <v>1</v>
      </c>
      <c r="AZ21" s="147">
        <v>5</v>
      </c>
      <c r="BA21" s="146">
        <v>50</v>
      </c>
      <c r="BB21" s="146">
        <v>3</v>
      </c>
      <c r="BC21" s="146">
        <v>8</v>
      </c>
      <c r="BD21" s="146">
        <v>1</v>
      </c>
      <c r="BE21" s="142">
        <v>30</v>
      </c>
      <c r="BF21" s="142">
        <v>50000</v>
      </c>
      <c r="BG21" s="205"/>
      <c r="BH21" s="205">
        <f t="shared" si="9"/>
      </c>
      <c r="BI21" s="205">
        <f t="shared" si="10"/>
      </c>
      <c r="BJ21" s="205">
        <f t="shared" si="11"/>
      </c>
      <c r="BK21" s="205">
        <f t="shared" si="12"/>
      </c>
      <c r="BL21" s="205">
        <f t="shared" si="13"/>
      </c>
      <c r="BM21" s="210">
        <f t="shared" si="14"/>
      </c>
      <c r="BN21" s="210">
        <f t="shared" si="15"/>
      </c>
      <c r="BO21" s="349">
        <f t="shared" si="5"/>
      </c>
      <c r="BP21" s="345">
        <f t="shared" si="6"/>
      </c>
    </row>
    <row r="22" spans="1:68" s="80" customFormat="1" ht="16.5" customHeight="1">
      <c r="A22" s="114"/>
      <c r="B22" s="115"/>
      <c r="C22" s="115"/>
      <c r="D22" s="213"/>
      <c r="E22" s="115"/>
      <c r="F22" s="115"/>
      <c r="G22" s="115"/>
      <c r="H22" s="115"/>
      <c r="I22" s="115"/>
      <c r="J22" s="187"/>
      <c r="K22" s="125">
        <f>IF(ISNA(VLOOKUP($J$22,Hilfstabelle!$AC$1:$AF$26,4,FALSE)),"",VLOOKUP($J$22,Hilfstabelle!$AC$1:$AF$26,4,FALSE))</f>
      </c>
      <c r="L22" s="116"/>
      <c r="M22" s="116"/>
      <c r="N22" s="116"/>
      <c r="O22" s="116"/>
      <c r="P22" s="117"/>
      <c r="Q22" s="117"/>
      <c r="R22" s="118"/>
      <c r="S22" s="125"/>
      <c r="T22" s="125"/>
      <c r="U22" s="126">
        <f>IF(ISNA(VLOOKUP($R$22&amp;$T$22&amp;$S$22,Hilfstabelle!$D$2:$E$138,2,FALSE)),"",VLOOKUP($R$22&amp;$T$22&amp;$S$22,Hilfstabelle!$D$2:$E$138,2,FALSE))</f>
      </c>
      <c r="V22" s="78">
        <f>IF(ISNUMBER($U$22*$Q$22),($U$22*$Q$22),"")</f>
      </c>
      <c r="W22" s="353">
        <f>IF(ISNUMBER($P$22*$V$22),($P$22*$V$22),"")</f>
      </c>
      <c r="X22" s="357"/>
      <c r="Y22" s="116"/>
      <c r="Z22" s="117"/>
      <c r="AA22" s="117">
        <f t="shared" si="16"/>
      </c>
      <c r="AB22" s="135">
        <v>300</v>
      </c>
      <c r="AC22" s="136">
        <v>0.8</v>
      </c>
      <c r="AD22" s="135">
        <v>0.75</v>
      </c>
      <c r="AE22" s="291">
        <f t="shared" si="0"/>
      </c>
      <c r="AF22" s="292">
        <v>0</v>
      </c>
      <c r="AG22" s="102">
        <f t="shared" si="1"/>
      </c>
      <c r="AH22" s="293">
        <f t="shared" si="2"/>
      </c>
      <c r="AI22" s="140">
        <f>IF(ISNA(VLOOKUP($J$22,$AI$63:$AM$88,4,FALSE)),"",VLOOKUP($J$22,$AI$63:$AM$88,4,FALSE))</f>
      </c>
      <c r="AJ22" s="140">
        <f>IF(ISNA(VLOOKUP($J$22,$AI$63:$AM$88,5,FALSE)),"",VLOOKUP($J$22,$AI$63:$AM$88,5,FALSE))</f>
      </c>
      <c r="AK22" s="97">
        <f t="shared" si="7"/>
      </c>
      <c r="AL22" s="81">
        <f t="shared" si="3"/>
      </c>
      <c r="AM22" s="81">
        <f t="shared" si="8"/>
      </c>
      <c r="AN22" s="294">
        <f t="shared" si="4"/>
      </c>
      <c r="AO22" s="160"/>
      <c r="AP22" s="193">
        <f>IF(0&lt;(AO22*AP10),AO22*AP10,0)</f>
        <v>0</v>
      </c>
      <c r="AQ22" s="142"/>
      <c r="AR22" s="200"/>
      <c r="AS22" s="193"/>
      <c r="AT22" s="193">
        <f>IF(0&lt;(AS22*AT10),AS22*AT10,0)</f>
        <v>0</v>
      </c>
      <c r="AU22" s="146">
        <v>38</v>
      </c>
      <c r="AV22" s="160">
        <v>0.23</v>
      </c>
      <c r="AW22" s="142">
        <v>20</v>
      </c>
      <c r="AX22" s="147">
        <v>3.5</v>
      </c>
      <c r="AY22" s="147">
        <v>1</v>
      </c>
      <c r="AZ22" s="147">
        <v>5</v>
      </c>
      <c r="BA22" s="146">
        <v>50</v>
      </c>
      <c r="BB22" s="146">
        <v>3</v>
      </c>
      <c r="BC22" s="146">
        <v>8</v>
      </c>
      <c r="BD22" s="146">
        <v>1</v>
      </c>
      <c r="BE22" s="142">
        <v>30</v>
      </c>
      <c r="BF22" s="142">
        <v>50000</v>
      </c>
      <c r="BG22" s="205"/>
      <c r="BH22" s="205">
        <f t="shared" si="9"/>
      </c>
      <c r="BI22" s="205">
        <f t="shared" si="10"/>
      </c>
      <c r="BJ22" s="205">
        <f t="shared" si="11"/>
      </c>
      <c r="BK22" s="205">
        <f t="shared" si="12"/>
      </c>
      <c r="BL22" s="205">
        <f t="shared" si="13"/>
      </c>
      <c r="BM22" s="210">
        <f t="shared" si="14"/>
      </c>
      <c r="BN22" s="210">
        <f t="shared" si="15"/>
      </c>
      <c r="BO22" s="349">
        <f t="shared" si="5"/>
      </c>
      <c r="BP22" s="345">
        <f t="shared" si="6"/>
      </c>
    </row>
    <row r="23" spans="1:68" s="80" customFormat="1" ht="16.5" customHeight="1">
      <c r="A23" s="151"/>
      <c r="B23" s="152"/>
      <c r="C23" s="152"/>
      <c r="D23" s="216"/>
      <c r="E23" s="152"/>
      <c r="F23" s="152"/>
      <c r="G23" s="152"/>
      <c r="H23" s="152"/>
      <c r="I23" s="155"/>
      <c r="J23" s="190"/>
      <c r="K23" s="192">
        <f>IF(ISNA(VLOOKUP($J$23,Hilfstabelle!$AC$1:$AF$26,4,FALSE)),"",VLOOKUP($J$23,Hilfstabelle!$AC$1:$AF$26,4,FALSE))</f>
      </c>
      <c r="L23" s="153"/>
      <c r="M23" s="153"/>
      <c r="N23" s="153"/>
      <c r="O23" s="153"/>
      <c r="P23" s="154"/>
      <c r="Q23" s="154"/>
      <c r="R23" s="118"/>
      <c r="S23" s="125"/>
      <c r="T23" s="125"/>
      <c r="U23" s="126">
        <f>IF(ISNA(VLOOKUP($R$23&amp;$T$23&amp;$S$23,Hilfstabelle!$D$2:$E$138,2,FALSE)),"",VLOOKUP($R$23&amp;$T$23&amp;$S$23,Hilfstabelle!$D$2:$E$138,2,FALSE))</f>
      </c>
      <c r="V23" s="78">
        <f>IF(ISNUMBER($U$23*$Q$23),($U$23*$Q$23),"")</f>
      </c>
      <c r="W23" s="353">
        <f>IF(ISNUMBER($P$23*$V$23),($P$23*$V$23),"")</f>
      </c>
      <c r="X23" s="358"/>
      <c r="Y23" s="116"/>
      <c r="Z23" s="117"/>
      <c r="AA23" s="117">
        <f t="shared" si="16"/>
      </c>
      <c r="AB23" s="135">
        <v>300</v>
      </c>
      <c r="AC23" s="136">
        <v>0.8</v>
      </c>
      <c r="AD23" s="135">
        <v>0.75</v>
      </c>
      <c r="AE23" s="291">
        <f t="shared" si="0"/>
      </c>
      <c r="AF23" s="292">
        <v>0</v>
      </c>
      <c r="AG23" s="102">
        <f t="shared" si="1"/>
      </c>
      <c r="AH23" s="293">
        <f t="shared" si="2"/>
      </c>
      <c r="AI23" s="140">
        <f>IF(ISNA(VLOOKUP($J$23,$AI$63:$AM$88,4,FALSE)),"",VLOOKUP($J$23,$AI$63:$AM$88,4,FALSE))</f>
      </c>
      <c r="AJ23" s="140">
        <f>IF(ISNA(VLOOKUP($J$23,$AI$63:$AM$88,5,FALSE)),"",VLOOKUP($J$23,$AI$63:$AM$88,5,FALSE))</f>
      </c>
      <c r="AK23" s="97">
        <f t="shared" si="7"/>
      </c>
      <c r="AL23" s="81">
        <f t="shared" si="3"/>
      </c>
      <c r="AM23" s="81">
        <f t="shared" si="8"/>
      </c>
      <c r="AN23" s="294">
        <f t="shared" si="4"/>
      </c>
      <c r="AO23" s="160"/>
      <c r="AP23" s="193">
        <f>IF(0&lt;(AO23*AP10),AO23*AP10,0)</f>
        <v>0</v>
      </c>
      <c r="AQ23" s="142"/>
      <c r="AR23" s="200"/>
      <c r="AS23" s="193"/>
      <c r="AT23" s="193">
        <f>IF(0&lt;(AS23*AT10),AS23*AT10,0)</f>
        <v>0</v>
      </c>
      <c r="AU23" s="146">
        <v>38</v>
      </c>
      <c r="AV23" s="160">
        <v>0.23</v>
      </c>
      <c r="AW23" s="142">
        <v>20</v>
      </c>
      <c r="AX23" s="147">
        <v>3.5</v>
      </c>
      <c r="AY23" s="147">
        <v>1</v>
      </c>
      <c r="AZ23" s="147">
        <v>5</v>
      </c>
      <c r="BA23" s="146">
        <v>50</v>
      </c>
      <c r="BB23" s="146">
        <v>3</v>
      </c>
      <c r="BC23" s="146">
        <v>8</v>
      </c>
      <c r="BD23" s="146">
        <v>1</v>
      </c>
      <c r="BE23" s="142">
        <v>30</v>
      </c>
      <c r="BF23" s="142">
        <v>50000</v>
      </c>
      <c r="BG23" s="205"/>
      <c r="BH23" s="205">
        <f t="shared" si="9"/>
      </c>
      <c r="BI23" s="205">
        <f t="shared" si="10"/>
      </c>
      <c r="BJ23" s="205">
        <f t="shared" si="11"/>
      </c>
      <c r="BK23" s="205">
        <f t="shared" si="12"/>
      </c>
      <c r="BL23" s="205">
        <f t="shared" si="13"/>
      </c>
      <c r="BM23" s="210">
        <f t="shared" si="14"/>
      </c>
      <c r="BN23" s="210">
        <f t="shared" si="15"/>
      </c>
      <c r="BO23" s="349">
        <f t="shared" si="5"/>
      </c>
      <c r="BP23" s="345">
        <f t="shared" si="6"/>
      </c>
    </row>
    <row r="24" spans="1:68" s="80" customFormat="1" ht="16.5" customHeight="1" thickBot="1">
      <c r="A24" s="127"/>
      <c r="B24" s="128"/>
      <c r="C24" s="128"/>
      <c r="D24" s="214"/>
      <c r="E24" s="128"/>
      <c r="F24" s="128"/>
      <c r="G24" s="128"/>
      <c r="H24" s="128"/>
      <c r="I24" s="128"/>
      <c r="J24" s="188"/>
      <c r="K24" s="173">
        <f>IF(ISNA(VLOOKUP($J$24,Hilfstabelle!$AC$1:$AF$26,4,FALSE)),"",VLOOKUP($J$24,Hilfstabelle!$AC$1:$AF$26,4,FALSE))</f>
      </c>
      <c r="L24" s="129"/>
      <c r="M24" s="129"/>
      <c r="N24" s="129"/>
      <c r="O24" s="129"/>
      <c r="P24" s="130"/>
      <c r="Q24" s="130"/>
      <c r="R24" s="131"/>
      <c r="S24" s="173"/>
      <c r="T24" s="173"/>
      <c r="U24" s="174">
        <f>IF(ISNA(VLOOKUP($R$24&amp;$T$24&amp;$S$24,Hilfstabelle!$D$2:$E$138,2,FALSE)),"",VLOOKUP($R$24&amp;$T$24&amp;$S$24,Hilfstabelle!$D$2:$E$138,2,FALSE))</f>
      </c>
      <c r="V24" s="175">
        <f>IF(ISNUMBER($U$24*$Q$24),($U$24*$Q$24),"")</f>
      </c>
      <c r="W24" s="354">
        <f>IF(ISNUMBER($P$24*$V$24),($P$24*$V$24),"")</f>
      </c>
      <c r="X24" s="359"/>
      <c r="Y24" s="129"/>
      <c r="Z24" s="130"/>
      <c r="AA24" s="130">
        <f t="shared" si="16"/>
      </c>
      <c r="AB24" s="176">
        <v>300</v>
      </c>
      <c r="AC24" s="177">
        <v>0.8</v>
      </c>
      <c r="AD24" s="176">
        <v>0.75</v>
      </c>
      <c r="AE24" s="297">
        <f t="shared" si="0"/>
      </c>
      <c r="AF24" s="298">
        <v>0</v>
      </c>
      <c r="AG24" s="178">
        <f t="shared" si="1"/>
      </c>
      <c r="AH24" s="299">
        <f t="shared" si="2"/>
      </c>
      <c r="AI24" s="179">
        <f>IF(ISNA(VLOOKUP($J$24,$AI$63:$AM$88,4,FALSE)),"",VLOOKUP($J$24,$AI$63:$AM$88,4,FALSE))</f>
      </c>
      <c r="AJ24" s="179">
        <f>IF(ISNA(VLOOKUP($J$24,$AI$63:$AM$88,5,FALSE)),"",VLOOKUP($J$24,$AI$63:$AM$88,5,FALSE))</f>
      </c>
      <c r="AK24" s="180">
        <f t="shared" si="7"/>
      </c>
      <c r="AL24" s="181">
        <f t="shared" si="3"/>
      </c>
      <c r="AM24" s="181">
        <f t="shared" si="8"/>
      </c>
      <c r="AN24" s="300">
        <f t="shared" si="4"/>
      </c>
      <c r="AO24" s="184"/>
      <c r="AP24" s="194">
        <f>IF(0&lt;(AO24*AP10),AO24*AP10,0)</f>
        <v>0</v>
      </c>
      <c r="AQ24" s="182"/>
      <c r="AR24" s="201"/>
      <c r="AS24" s="194"/>
      <c r="AT24" s="194">
        <f>IF(0&lt;(AS24*AT10),AS24*AT10,0)</f>
        <v>0</v>
      </c>
      <c r="AU24" s="183">
        <v>38</v>
      </c>
      <c r="AV24" s="184">
        <v>0.23</v>
      </c>
      <c r="AW24" s="182">
        <v>20</v>
      </c>
      <c r="AX24" s="185">
        <v>3.5</v>
      </c>
      <c r="AY24" s="185">
        <v>1</v>
      </c>
      <c r="AZ24" s="185">
        <v>5</v>
      </c>
      <c r="BA24" s="183">
        <v>50</v>
      </c>
      <c r="BB24" s="183">
        <v>3</v>
      </c>
      <c r="BC24" s="183">
        <v>8</v>
      </c>
      <c r="BD24" s="183">
        <v>1</v>
      </c>
      <c r="BE24" s="182">
        <v>30</v>
      </c>
      <c r="BF24" s="182">
        <v>50000</v>
      </c>
      <c r="BG24" s="206"/>
      <c r="BH24" s="206">
        <f t="shared" si="9"/>
      </c>
      <c r="BI24" s="206">
        <f t="shared" si="10"/>
      </c>
      <c r="BJ24" s="206">
        <f t="shared" si="11"/>
      </c>
      <c r="BK24" s="206">
        <f t="shared" si="12"/>
      </c>
      <c r="BL24" s="206">
        <f t="shared" si="13"/>
      </c>
      <c r="BM24" s="301">
        <f t="shared" si="14"/>
      </c>
      <c r="BN24" s="301">
        <f t="shared" si="15"/>
      </c>
      <c r="BO24" s="350">
        <f t="shared" si="5"/>
      </c>
      <c r="BP24" s="346">
        <f t="shared" si="6"/>
      </c>
    </row>
    <row r="25" spans="1:68" s="80" customFormat="1" ht="16.5" customHeight="1">
      <c r="A25" s="162"/>
      <c r="B25" s="163"/>
      <c r="C25" s="163"/>
      <c r="D25" s="215"/>
      <c r="E25" s="163"/>
      <c r="F25" s="163"/>
      <c r="G25" s="163"/>
      <c r="H25" s="163"/>
      <c r="I25" s="163"/>
      <c r="J25" s="189"/>
      <c r="K25" s="166">
        <f>IF(ISNA(VLOOKUP($J$25,Hilfstabelle!$AC$1:$AF$26,4,FALSE)),"",VLOOKUP($J$25,Hilfstabelle!$AC$1:$AF$26,4,FALSE))</f>
      </c>
      <c r="L25" s="164"/>
      <c r="M25" s="164"/>
      <c r="N25" s="164"/>
      <c r="O25" s="164"/>
      <c r="P25" s="132"/>
      <c r="Q25" s="132"/>
      <c r="R25" s="165"/>
      <c r="S25" s="166"/>
      <c r="T25" s="166"/>
      <c r="U25" s="167">
        <f>IF(ISNA(VLOOKUP($R$25&amp;$T$25&amp;$S$25,Hilfstabelle!$D$2:$E$138,2,FALSE)),"",VLOOKUP($R$25&amp;$T$25&amp;$S$25,Hilfstabelle!$D$2:$E$138,2,FALSE))</f>
      </c>
      <c r="V25" s="168">
        <f>IF(ISNUMBER($U$25*$Q$25),($U$25*$Q$25),"")</f>
      </c>
      <c r="W25" s="352">
        <f>IF(ISNUMBER($P$25*$V$25),($P$25*$V$25),"")</f>
      </c>
      <c r="X25" s="356"/>
      <c r="Y25" s="164"/>
      <c r="Z25" s="132"/>
      <c r="AA25" s="132">
        <f t="shared" si="16"/>
      </c>
      <c r="AB25" s="133">
        <v>300</v>
      </c>
      <c r="AC25" s="134">
        <v>0.8</v>
      </c>
      <c r="AD25" s="133">
        <v>0.75</v>
      </c>
      <c r="AE25" s="302">
        <f t="shared" si="0"/>
      </c>
      <c r="AF25" s="303">
        <v>0</v>
      </c>
      <c r="AG25" s="169">
        <f t="shared" si="1"/>
      </c>
      <c r="AH25" s="304">
        <f t="shared" si="2"/>
      </c>
      <c r="AI25" s="139">
        <f>IF(ISNA(VLOOKUP($J$25,$AI$63:$AM$88,4,FALSE)),"",VLOOKUP($J$25,$AI$63:$AM$88,4,FALSE))</f>
      </c>
      <c r="AJ25" s="139">
        <f>IF(ISNA(VLOOKUP($J$25,$AI$63:$AM$88,5,FALSE)),"",VLOOKUP($J$25,$AI$63:$AM$88,5,FALSE))</f>
      </c>
      <c r="AK25" s="96">
        <f t="shared" si="7"/>
      </c>
      <c r="AL25" s="79">
        <f t="shared" si="3"/>
      </c>
      <c r="AM25" s="79">
        <f t="shared" si="8"/>
      </c>
      <c r="AN25" s="305">
        <f t="shared" si="4"/>
      </c>
      <c r="AO25" s="159"/>
      <c r="AP25" s="195">
        <f>IF(0&lt;(AO25*AP10),AO25*AP10,0)</f>
        <v>0</v>
      </c>
      <c r="AQ25" s="143"/>
      <c r="AR25" s="202"/>
      <c r="AS25" s="195"/>
      <c r="AT25" s="195">
        <f>IF(0&lt;(AS25*AT10),AS25*AT10,0)</f>
        <v>0</v>
      </c>
      <c r="AU25" s="144">
        <v>38</v>
      </c>
      <c r="AV25" s="159">
        <v>0.23</v>
      </c>
      <c r="AW25" s="143">
        <v>20</v>
      </c>
      <c r="AX25" s="145">
        <v>3.5</v>
      </c>
      <c r="AY25" s="145">
        <v>1</v>
      </c>
      <c r="AZ25" s="145">
        <v>5</v>
      </c>
      <c r="BA25" s="144">
        <v>50</v>
      </c>
      <c r="BB25" s="144">
        <v>3</v>
      </c>
      <c r="BC25" s="144">
        <v>8</v>
      </c>
      <c r="BD25" s="144">
        <v>1</v>
      </c>
      <c r="BE25" s="143">
        <v>30</v>
      </c>
      <c r="BF25" s="143">
        <v>50000</v>
      </c>
      <c r="BG25" s="207"/>
      <c r="BH25" s="207">
        <f t="shared" si="9"/>
      </c>
      <c r="BI25" s="207">
        <f t="shared" si="10"/>
      </c>
      <c r="BJ25" s="207">
        <f t="shared" si="11"/>
      </c>
      <c r="BK25" s="207">
        <f t="shared" si="12"/>
      </c>
      <c r="BL25" s="207">
        <f t="shared" si="13"/>
      </c>
      <c r="BM25" s="240">
        <f t="shared" si="14"/>
      </c>
      <c r="BN25" s="240">
        <f t="shared" si="15"/>
      </c>
      <c r="BO25" s="348">
        <f t="shared" si="5"/>
      </c>
      <c r="BP25" s="344">
        <f t="shared" si="6"/>
      </c>
    </row>
    <row r="26" spans="1:68" s="222" customFormat="1" ht="16.5" customHeight="1">
      <c r="A26" s="114"/>
      <c r="B26" s="115"/>
      <c r="C26" s="115"/>
      <c r="D26" s="213"/>
      <c r="E26" s="115"/>
      <c r="F26" s="115"/>
      <c r="G26" s="115"/>
      <c r="H26" s="115"/>
      <c r="I26" s="115"/>
      <c r="J26" s="223"/>
      <c r="K26" s="224">
        <f>IF(ISNA(VLOOKUP($J$26,Hilfstabelle!$AC$1:$AF$26,4,FALSE)),"",VLOOKUP($J$26,Hilfstabelle!$AC$1:$AF$26,4,FALSE))</f>
      </c>
      <c r="L26" s="296"/>
      <c r="M26" s="296"/>
      <c r="N26" s="296"/>
      <c r="O26" s="296"/>
      <c r="P26" s="307"/>
      <c r="Q26" s="307"/>
      <c r="R26" s="225"/>
      <c r="S26" s="224"/>
      <c r="T26" s="224"/>
      <c r="U26" s="226">
        <f>IF(ISNA(VLOOKUP($R$26&amp;$T$26&amp;$S$26,Hilfstabelle!$D$2:$E$138,2,FALSE)),"",VLOOKUP($R$26&amp;$T$26&amp;$S$26,Hilfstabelle!$D$2:$E$138,2,FALSE))</f>
      </c>
      <c r="V26" s="227">
        <f>IF(ISNUMBER($U$26*$Q$26),($U$26*$Q$26),"")</f>
      </c>
      <c r="W26" s="353">
        <f>IF(ISNUMBER($P$26*$V$26),($P$26*$V$26),"")</f>
      </c>
      <c r="X26" s="357"/>
      <c r="Y26" s="296"/>
      <c r="Z26" s="307"/>
      <c r="AA26" s="307">
        <f aca="true" t="shared" si="17" ref="AA26:AA36">IF(P26&gt;0,P26,"")</f>
      </c>
      <c r="AB26" s="186">
        <v>300</v>
      </c>
      <c r="AC26" s="228">
        <v>0.8</v>
      </c>
      <c r="AD26" s="186">
        <v>0.75</v>
      </c>
      <c r="AE26" s="306">
        <f aca="true" t="shared" si="18" ref="AE26:AE36">IF(ISNUMBER(Z26*AA26),Z26*AA26,"")</f>
      </c>
      <c r="AF26" s="292">
        <v>0</v>
      </c>
      <c r="AG26" s="102">
        <f aca="true" t="shared" si="19" ref="AG26:AG36">IF(ISNUMBER(W26*(1-AF26)-AE26),W26*(1-AF26)-AE26,"")</f>
      </c>
      <c r="AH26" s="293">
        <f aca="true" t="shared" si="20" ref="AH26:AH36">IF(ISNUMBER(1-(W26-AG26)/W26),1-(W26-AG26)/W26,"")</f>
      </c>
      <c r="AI26" s="140">
        <f>IF(ISNA(VLOOKUP($J$26,$AI$63:$AM$88,4,FALSE)),"",VLOOKUP($J$26,$AI$63:$AM$88,4,FALSE))</f>
      </c>
      <c r="AJ26" s="140">
        <f>IF(ISNA(VLOOKUP($J$26,$AI$63:$AM$88,5,FALSE)),"",VLOOKUP($J$26,$AI$63:$AM$88,5,FALSE))</f>
      </c>
      <c r="AK26" s="97">
        <f aca="true" t="shared" si="21" ref="AK26:AK36">IF(ISNUMBER(AI26+AJ26-(AI26*AJ26)),AI26+AJ26-(AI26*AJ26),"")</f>
      </c>
      <c r="AL26" s="81">
        <f aca="true" t="shared" si="22" ref="AL26:AL36">IF(ISNUMBER(W26*(1-AF26)-AE26*(1-AK26)),W26*(1-AF26)-AE26*(1-AK26),"")</f>
      </c>
      <c r="AM26" s="81">
        <f aca="true" t="shared" si="23" ref="AM26:AM36">IF(ISNUMBER(AE26*(1-AK26)),AE26*(1-AK26),"")</f>
      </c>
      <c r="AN26" s="294">
        <f aca="true" t="shared" si="24" ref="AN26:AN36">IF(ISNUMBER(AL26/W26),AL26/W26,"")</f>
      </c>
      <c r="AO26" s="233"/>
      <c r="AP26" s="229">
        <f>IF(0&lt;(AO26*AP10),AO26*AP10,0)</f>
        <v>0</v>
      </c>
      <c r="AQ26" s="230"/>
      <c r="AR26" s="231"/>
      <c r="AS26" s="229"/>
      <c r="AT26" s="229">
        <f>IF(0&lt;(AS26*AT10),AS26*AT10,0)</f>
        <v>0</v>
      </c>
      <c r="AU26" s="232">
        <v>38</v>
      </c>
      <c r="AV26" s="233">
        <v>0.23</v>
      </c>
      <c r="AW26" s="230">
        <v>20</v>
      </c>
      <c r="AX26" s="234">
        <v>3.5</v>
      </c>
      <c r="AY26" s="234">
        <v>1</v>
      </c>
      <c r="AZ26" s="234">
        <v>5</v>
      </c>
      <c r="BA26" s="232">
        <v>50</v>
      </c>
      <c r="BB26" s="232">
        <v>3</v>
      </c>
      <c r="BC26" s="232">
        <v>8</v>
      </c>
      <c r="BD26" s="232">
        <v>1</v>
      </c>
      <c r="BE26" s="230">
        <v>30</v>
      </c>
      <c r="BF26" s="230">
        <v>50000</v>
      </c>
      <c r="BG26" s="205"/>
      <c r="BH26" s="205">
        <f aca="true" t="shared" si="25" ref="BH26:BH36">IF(ISNUMBER(((W26/1000*(1-AF26)*K26*AV26)*(1+AZ26/100*AW26/2))),((W26/1000*(1-AF26)*K26*AV26)*(1+AZ26/100*AW26/2)),"")</f>
      </c>
      <c r="BI26" s="205">
        <f aca="true" t="shared" si="26" ref="BI26:BI36">IF(ISNUMBER(((AM26/1000*K26*AV26)*(1+AZ26/100*AW26/2))),((AM26/1000*K26*AV26)*(1+AZ26/100*AW26/2)),"")</f>
      </c>
      <c r="BJ26" s="205">
        <f aca="true" t="shared" si="27" ref="BJ26:BJ36">IF(ISNUMBER(BH26*AW26),BH26*AW26,"")</f>
      </c>
      <c r="BK26" s="205">
        <f aca="true" t="shared" si="28" ref="BK26:BK36">IF(ISNUMBER((BI26*AW26)),(BI26*AW26),"")</f>
      </c>
      <c r="BL26" s="205">
        <f aca="true" t="shared" si="29" ref="BL26:BL36">IF(ISNUMBER((AA26*(AO26+AU26+AP26)+AR26*(AS26+AT26)+BG26)*(1-BE26/100)),(AA26*(AO26+AU26+AP26)+AR26*(AS26+AT26)+BG26)*(1-BE26/100),"")</f>
      </c>
      <c r="BM26" s="210">
        <f aca="true" t="shared" si="30" ref="BM26:BM36">IF(ISNUMBER(BL26/(BH26-BI26)),BL26/(BH26-BI26),"")</f>
      </c>
      <c r="BN26" s="210">
        <f aca="true" t="shared" si="31" ref="BN26:BN36">IF(ISNUMBER(BJ26-BK26-BL26),BJ26-BK26-BL26,"")</f>
      </c>
      <c r="BO26" s="349">
        <f t="shared" si="5"/>
      </c>
      <c r="BP26" s="345">
        <f t="shared" si="6"/>
      </c>
    </row>
    <row r="27" spans="1:68" s="222" customFormat="1" ht="16.5" customHeight="1">
      <c r="A27" s="114"/>
      <c r="B27" s="115"/>
      <c r="C27" s="115"/>
      <c r="D27" s="213"/>
      <c r="E27" s="115"/>
      <c r="F27" s="115"/>
      <c r="G27" s="115"/>
      <c r="H27" s="115"/>
      <c r="I27" s="115"/>
      <c r="J27" s="223"/>
      <c r="K27" s="224">
        <f>IF(ISNA(VLOOKUP($J$27,Hilfstabelle!$AC$1:$AF$26,4,FALSE)),"",VLOOKUP($J$27,Hilfstabelle!$AC$1:$AF$26,4,FALSE))</f>
      </c>
      <c r="L27" s="296"/>
      <c r="M27" s="296"/>
      <c r="N27" s="296"/>
      <c r="O27" s="296"/>
      <c r="P27" s="307"/>
      <c r="Q27" s="307"/>
      <c r="R27" s="225"/>
      <c r="S27" s="224"/>
      <c r="T27" s="224"/>
      <c r="U27" s="226">
        <f>IF(ISNA(VLOOKUP($R$27&amp;$T$27&amp;$S$27,Hilfstabelle!$D$2:$E$138,2,FALSE)),"",VLOOKUP($R$27&amp;$T$27&amp;$S$27,Hilfstabelle!$D$2:$E$138,2,FALSE))</f>
      </c>
      <c r="V27" s="227">
        <f>IF(ISNUMBER($U$27*$Q$27),($U$27*$Q$27),"")</f>
      </c>
      <c r="W27" s="353">
        <f>IF(ISNUMBER($P$27*$V$27),($P$27*$V$27),"")</f>
      </c>
      <c r="X27" s="357"/>
      <c r="Y27" s="296"/>
      <c r="Z27" s="307"/>
      <c r="AA27" s="307">
        <f t="shared" si="17"/>
      </c>
      <c r="AB27" s="186">
        <v>300</v>
      </c>
      <c r="AC27" s="228">
        <v>0.8</v>
      </c>
      <c r="AD27" s="186">
        <v>0.75</v>
      </c>
      <c r="AE27" s="306">
        <f t="shared" si="18"/>
      </c>
      <c r="AF27" s="292">
        <v>0</v>
      </c>
      <c r="AG27" s="102">
        <f t="shared" si="19"/>
      </c>
      <c r="AH27" s="293">
        <f t="shared" si="20"/>
      </c>
      <c r="AI27" s="140">
        <f>IF(ISNA(VLOOKUP($J$27,$AI$63:$AM$88,4,FALSE)),"",VLOOKUP($J$27,$AI$63:$AM$88,4,FALSE))</f>
      </c>
      <c r="AJ27" s="140">
        <f>IF(ISNA(VLOOKUP($J$27,$AI$63:$AM$88,5,FALSE)),"",VLOOKUP($J$27,$AI$63:$AM$88,5,FALSE))</f>
      </c>
      <c r="AK27" s="97">
        <f t="shared" si="21"/>
      </c>
      <c r="AL27" s="81">
        <f t="shared" si="22"/>
      </c>
      <c r="AM27" s="81">
        <f t="shared" si="23"/>
      </c>
      <c r="AN27" s="294">
        <f t="shared" si="24"/>
      </c>
      <c r="AO27" s="233"/>
      <c r="AP27" s="229">
        <f>IF(0&lt;(AO27*AP10),AO27*AP10,0)</f>
        <v>0</v>
      </c>
      <c r="AQ27" s="230"/>
      <c r="AR27" s="231"/>
      <c r="AS27" s="229"/>
      <c r="AT27" s="229">
        <f>IF(0&lt;(AS27*AT10),AS27*AT10,0)</f>
        <v>0</v>
      </c>
      <c r="AU27" s="232">
        <v>38</v>
      </c>
      <c r="AV27" s="233">
        <v>0.23</v>
      </c>
      <c r="AW27" s="230">
        <v>20</v>
      </c>
      <c r="AX27" s="234">
        <v>3.5</v>
      </c>
      <c r="AY27" s="234">
        <v>1</v>
      </c>
      <c r="AZ27" s="234">
        <v>5</v>
      </c>
      <c r="BA27" s="232">
        <v>50</v>
      </c>
      <c r="BB27" s="232">
        <v>3</v>
      </c>
      <c r="BC27" s="232">
        <v>8</v>
      </c>
      <c r="BD27" s="232">
        <v>1</v>
      </c>
      <c r="BE27" s="230">
        <v>30</v>
      </c>
      <c r="BF27" s="230">
        <v>50000</v>
      </c>
      <c r="BG27" s="205"/>
      <c r="BH27" s="205">
        <f t="shared" si="25"/>
      </c>
      <c r="BI27" s="205">
        <f t="shared" si="26"/>
      </c>
      <c r="BJ27" s="205">
        <f t="shared" si="27"/>
      </c>
      <c r="BK27" s="205">
        <f t="shared" si="28"/>
      </c>
      <c r="BL27" s="205">
        <f t="shared" si="29"/>
      </c>
      <c r="BM27" s="210">
        <f t="shared" si="30"/>
      </c>
      <c r="BN27" s="210">
        <f t="shared" si="31"/>
      </c>
      <c r="BO27" s="349">
        <f t="shared" si="5"/>
      </c>
      <c r="BP27" s="345">
        <f t="shared" si="6"/>
      </c>
    </row>
    <row r="28" spans="1:68" s="222" customFormat="1" ht="16.5" customHeight="1">
      <c r="A28" s="114"/>
      <c r="B28" s="115"/>
      <c r="C28" s="115"/>
      <c r="D28" s="213"/>
      <c r="E28" s="115"/>
      <c r="F28" s="115"/>
      <c r="G28" s="115"/>
      <c r="H28" s="115"/>
      <c r="I28" s="115"/>
      <c r="J28" s="223"/>
      <c r="K28" s="224">
        <f>IF(ISNA(VLOOKUP($J$28,Hilfstabelle!$AC$1:$AF$26,4,FALSE)),"",VLOOKUP($J$28,Hilfstabelle!$AC$1:$AF$26,4,FALSE))</f>
      </c>
      <c r="L28" s="296"/>
      <c r="M28" s="296"/>
      <c r="N28" s="296"/>
      <c r="O28" s="296"/>
      <c r="P28" s="307"/>
      <c r="Q28" s="307"/>
      <c r="R28" s="225"/>
      <c r="S28" s="224"/>
      <c r="T28" s="224"/>
      <c r="U28" s="226">
        <f>IF(ISNA(VLOOKUP($R$28&amp;$T$28&amp;$S$28,Hilfstabelle!$D$2:$E$138,2,FALSE)),"",VLOOKUP($R$28&amp;$T$28&amp;$S$28,Hilfstabelle!$D$2:$E$138,2,FALSE))</f>
      </c>
      <c r="V28" s="227">
        <f>IF(ISNUMBER($U$28*$Q$28),($U$28*$Q$28),"")</f>
      </c>
      <c r="W28" s="353">
        <f>IF(ISNUMBER($P$28*$V$28),($P$28*$V$28),"")</f>
      </c>
      <c r="X28" s="357"/>
      <c r="Y28" s="296"/>
      <c r="Z28" s="307"/>
      <c r="AA28" s="307">
        <f t="shared" si="17"/>
      </c>
      <c r="AB28" s="186">
        <v>300</v>
      </c>
      <c r="AC28" s="228">
        <v>0.8</v>
      </c>
      <c r="AD28" s="186">
        <v>0.75</v>
      </c>
      <c r="AE28" s="306">
        <f t="shared" si="18"/>
      </c>
      <c r="AF28" s="292">
        <v>0</v>
      </c>
      <c r="AG28" s="102">
        <f t="shared" si="19"/>
      </c>
      <c r="AH28" s="293">
        <f t="shared" si="20"/>
      </c>
      <c r="AI28" s="140">
        <f>IF(ISNA(VLOOKUP($J$28,$AI$63:$AM$88,4,FALSE)),"",VLOOKUP($J$28,$AI$63:$AM$88,4,FALSE))</f>
      </c>
      <c r="AJ28" s="140">
        <f>IF(ISNA(VLOOKUP($J$28,$AI$63:$AM$88,5,FALSE)),"",VLOOKUP($J$28,$AI$63:$AM$88,5,FALSE))</f>
      </c>
      <c r="AK28" s="97">
        <f t="shared" si="21"/>
      </c>
      <c r="AL28" s="81">
        <f t="shared" si="22"/>
      </c>
      <c r="AM28" s="81">
        <f t="shared" si="23"/>
      </c>
      <c r="AN28" s="294">
        <f t="shared" si="24"/>
      </c>
      <c r="AO28" s="233"/>
      <c r="AP28" s="229">
        <f>IF(0&lt;(AO28*AP10),AO28*AP10,0)</f>
        <v>0</v>
      </c>
      <c r="AQ28" s="230"/>
      <c r="AR28" s="231"/>
      <c r="AS28" s="229"/>
      <c r="AT28" s="229">
        <f>IF(0&lt;(AS28*AT10),AS28*AT10,0)</f>
        <v>0</v>
      </c>
      <c r="AU28" s="232">
        <v>38</v>
      </c>
      <c r="AV28" s="233">
        <v>0.23</v>
      </c>
      <c r="AW28" s="230">
        <v>20</v>
      </c>
      <c r="AX28" s="234">
        <v>3.5</v>
      </c>
      <c r="AY28" s="234">
        <v>1</v>
      </c>
      <c r="AZ28" s="234">
        <v>5</v>
      </c>
      <c r="BA28" s="232">
        <v>50</v>
      </c>
      <c r="BB28" s="232">
        <v>3</v>
      </c>
      <c r="BC28" s="232">
        <v>8</v>
      </c>
      <c r="BD28" s="232">
        <v>1</v>
      </c>
      <c r="BE28" s="230">
        <v>30</v>
      </c>
      <c r="BF28" s="230">
        <v>50000</v>
      </c>
      <c r="BG28" s="205"/>
      <c r="BH28" s="205">
        <f t="shared" si="25"/>
      </c>
      <c r="BI28" s="205">
        <f t="shared" si="26"/>
      </c>
      <c r="BJ28" s="205">
        <f t="shared" si="27"/>
      </c>
      <c r="BK28" s="205">
        <f t="shared" si="28"/>
      </c>
      <c r="BL28" s="205">
        <f t="shared" si="29"/>
      </c>
      <c r="BM28" s="210">
        <f t="shared" si="30"/>
      </c>
      <c r="BN28" s="210">
        <f t="shared" si="31"/>
      </c>
      <c r="BO28" s="349">
        <f t="shared" si="5"/>
      </c>
      <c r="BP28" s="345">
        <f t="shared" si="6"/>
      </c>
    </row>
    <row r="29" spans="1:68" s="222" customFormat="1" ht="16.5" customHeight="1">
      <c r="A29" s="114"/>
      <c r="B29" s="115"/>
      <c r="C29" s="115"/>
      <c r="D29" s="213"/>
      <c r="E29" s="115"/>
      <c r="F29" s="115"/>
      <c r="G29" s="115"/>
      <c r="H29" s="115"/>
      <c r="I29" s="115"/>
      <c r="J29" s="223"/>
      <c r="K29" s="224">
        <f>IF(ISNA(VLOOKUP($J$29,Hilfstabelle!$AC$1:$AF$26,4,FALSE)),"",VLOOKUP($J$29,Hilfstabelle!$AC$1:$AF$26,4,FALSE))</f>
      </c>
      <c r="L29" s="296"/>
      <c r="M29" s="296"/>
      <c r="N29" s="296"/>
      <c r="O29" s="296"/>
      <c r="P29" s="307"/>
      <c r="Q29" s="307"/>
      <c r="R29" s="225"/>
      <c r="S29" s="224"/>
      <c r="T29" s="224"/>
      <c r="U29" s="226">
        <f>IF(ISNA(VLOOKUP($R$29&amp;$T$29&amp;$S$29,Hilfstabelle!$D$2:$E$138,2,FALSE)),"",VLOOKUP($R$29&amp;$T$29&amp;$S$29,Hilfstabelle!$D$2:$E$138,2,FALSE))</f>
      </c>
      <c r="V29" s="227">
        <f>IF(ISNUMBER($U$29*$Q$29),($U$29*$Q$29),"")</f>
      </c>
      <c r="W29" s="353">
        <f>IF(ISNUMBER($P$29*$V$29),($P$29*$V$29),"")</f>
      </c>
      <c r="X29" s="357"/>
      <c r="Y29" s="296"/>
      <c r="Z29" s="307"/>
      <c r="AA29" s="307">
        <f t="shared" si="17"/>
      </c>
      <c r="AB29" s="186">
        <v>300</v>
      </c>
      <c r="AC29" s="228">
        <v>0.8</v>
      </c>
      <c r="AD29" s="186">
        <v>0.75</v>
      </c>
      <c r="AE29" s="306">
        <f t="shared" si="18"/>
      </c>
      <c r="AF29" s="292">
        <v>0</v>
      </c>
      <c r="AG29" s="102">
        <f t="shared" si="19"/>
      </c>
      <c r="AH29" s="293">
        <f t="shared" si="20"/>
      </c>
      <c r="AI29" s="140">
        <f>IF(ISNA(VLOOKUP($J$29,$AI$63:$AM$88,4,FALSE)),"",VLOOKUP($J$29,$AI$63:$AM$88,4,FALSE))</f>
      </c>
      <c r="AJ29" s="140">
        <f>IF(ISNA(VLOOKUP($J$29,$AI$63:$AM$88,5,FALSE)),"",VLOOKUP($J$29,$AI$63:$AM$88,5,FALSE))</f>
      </c>
      <c r="AK29" s="97">
        <f t="shared" si="21"/>
      </c>
      <c r="AL29" s="81">
        <f t="shared" si="22"/>
      </c>
      <c r="AM29" s="81">
        <f t="shared" si="23"/>
      </c>
      <c r="AN29" s="294">
        <f t="shared" si="24"/>
      </c>
      <c r="AO29" s="233"/>
      <c r="AP29" s="229">
        <f>IF(0&lt;(AO29*AP10),AO29*AP10,0)</f>
        <v>0</v>
      </c>
      <c r="AQ29" s="230"/>
      <c r="AR29" s="231"/>
      <c r="AS29" s="229"/>
      <c r="AT29" s="229">
        <f>IF(0&lt;(AS29*AT10),AS29*AT10,0)</f>
        <v>0</v>
      </c>
      <c r="AU29" s="232">
        <v>38</v>
      </c>
      <c r="AV29" s="233">
        <v>0.23</v>
      </c>
      <c r="AW29" s="230">
        <v>20</v>
      </c>
      <c r="AX29" s="234">
        <v>3.5</v>
      </c>
      <c r="AY29" s="234">
        <v>1</v>
      </c>
      <c r="AZ29" s="234">
        <v>5</v>
      </c>
      <c r="BA29" s="232">
        <v>50</v>
      </c>
      <c r="BB29" s="232">
        <v>3</v>
      </c>
      <c r="BC29" s="232">
        <v>8</v>
      </c>
      <c r="BD29" s="232">
        <v>1</v>
      </c>
      <c r="BE29" s="230">
        <v>30</v>
      </c>
      <c r="BF29" s="230">
        <v>50000</v>
      </c>
      <c r="BG29" s="205"/>
      <c r="BH29" s="205">
        <f t="shared" si="25"/>
      </c>
      <c r="BI29" s="205">
        <f t="shared" si="26"/>
      </c>
      <c r="BJ29" s="205">
        <f t="shared" si="27"/>
      </c>
      <c r="BK29" s="205">
        <f t="shared" si="28"/>
      </c>
      <c r="BL29" s="205">
        <f t="shared" si="29"/>
      </c>
      <c r="BM29" s="210">
        <f t="shared" si="30"/>
      </c>
      <c r="BN29" s="210">
        <f t="shared" si="31"/>
      </c>
      <c r="BO29" s="349">
        <f t="shared" si="5"/>
      </c>
      <c r="BP29" s="345">
        <f t="shared" si="6"/>
      </c>
    </row>
    <row r="30" spans="1:68" s="222" customFormat="1" ht="16.5" customHeight="1">
      <c r="A30" s="114"/>
      <c r="B30" s="115"/>
      <c r="C30" s="115"/>
      <c r="D30" s="213"/>
      <c r="E30" s="115"/>
      <c r="F30" s="115"/>
      <c r="G30" s="115"/>
      <c r="H30" s="115"/>
      <c r="I30" s="115"/>
      <c r="J30" s="223"/>
      <c r="K30" s="224">
        <f>IF(ISNA(VLOOKUP($J$30,Hilfstabelle!$AC$1:$AF$26,4,FALSE)),"",VLOOKUP($J$30,Hilfstabelle!$AC$1:$AF$26,4,FALSE))</f>
      </c>
      <c r="L30" s="296"/>
      <c r="M30" s="296"/>
      <c r="N30" s="296"/>
      <c r="O30" s="296"/>
      <c r="P30" s="307"/>
      <c r="Q30" s="307"/>
      <c r="R30" s="225"/>
      <c r="S30" s="224"/>
      <c r="T30" s="224"/>
      <c r="U30" s="226">
        <f>IF(ISNA(VLOOKUP($R$30&amp;$T$30&amp;$S$30,Hilfstabelle!$D$2:$E$138,2,FALSE)),"",VLOOKUP($R$30&amp;$T$30&amp;$S$30,Hilfstabelle!$D$2:$E$138,2,FALSE))</f>
      </c>
      <c r="V30" s="227">
        <f>IF(ISNUMBER($U$30*$Q$30),($U$30*$Q$30),"")</f>
      </c>
      <c r="W30" s="353">
        <f>IF(ISNUMBER($P$30*$V$30),($P$30*$V$30),"")</f>
      </c>
      <c r="X30" s="357"/>
      <c r="Y30" s="296"/>
      <c r="Z30" s="307"/>
      <c r="AA30" s="307">
        <f t="shared" si="17"/>
      </c>
      <c r="AB30" s="186">
        <v>300</v>
      </c>
      <c r="AC30" s="228">
        <v>0.8</v>
      </c>
      <c r="AD30" s="186">
        <v>0.75</v>
      </c>
      <c r="AE30" s="306">
        <f t="shared" si="18"/>
      </c>
      <c r="AF30" s="292">
        <v>0</v>
      </c>
      <c r="AG30" s="102">
        <f t="shared" si="19"/>
      </c>
      <c r="AH30" s="293">
        <f t="shared" si="20"/>
      </c>
      <c r="AI30" s="140">
        <f>IF(ISNA(VLOOKUP($J$30,$AI$63:$AM$88,4,FALSE)),"",VLOOKUP($J$30,$AI$63:$AM$88,4,FALSE))</f>
      </c>
      <c r="AJ30" s="140">
        <f>IF(ISNA(VLOOKUP($J$30,$AI$63:$AM$88,5,FALSE)),"",VLOOKUP($J$30,$AI$63:$AM$88,5,FALSE))</f>
      </c>
      <c r="AK30" s="97">
        <f t="shared" si="21"/>
      </c>
      <c r="AL30" s="81">
        <f t="shared" si="22"/>
      </c>
      <c r="AM30" s="81">
        <f t="shared" si="23"/>
      </c>
      <c r="AN30" s="294">
        <f t="shared" si="24"/>
      </c>
      <c r="AO30" s="233"/>
      <c r="AP30" s="229">
        <f>IF(0&lt;(AO30*AP10),AO30*AP10,0)</f>
        <v>0</v>
      </c>
      <c r="AQ30" s="230"/>
      <c r="AR30" s="231"/>
      <c r="AS30" s="229"/>
      <c r="AT30" s="229">
        <f>IF(0&lt;(AS30*AT10),AS30*AT10,0)</f>
        <v>0</v>
      </c>
      <c r="AU30" s="232">
        <v>38</v>
      </c>
      <c r="AV30" s="233">
        <v>0.23</v>
      </c>
      <c r="AW30" s="230">
        <v>20</v>
      </c>
      <c r="AX30" s="234">
        <v>3.5</v>
      </c>
      <c r="AY30" s="234">
        <v>1</v>
      </c>
      <c r="AZ30" s="234">
        <v>5</v>
      </c>
      <c r="BA30" s="232">
        <v>50</v>
      </c>
      <c r="BB30" s="232">
        <v>3</v>
      </c>
      <c r="BC30" s="232">
        <v>8</v>
      </c>
      <c r="BD30" s="232">
        <v>1</v>
      </c>
      <c r="BE30" s="230">
        <v>30</v>
      </c>
      <c r="BF30" s="230">
        <v>50000</v>
      </c>
      <c r="BG30" s="205"/>
      <c r="BH30" s="205">
        <f t="shared" si="25"/>
      </c>
      <c r="BI30" s="205">
        <f t="shared" si="26"/>
      </c>
      <c r="BJ30" s="205">
        <f t="shared" si="27"/>
      </c>
      <c r="BK30" s="205">
        <f t="shared" si="28"/>
      </c>
      <c r="BL30" s="205">
        <f t="shared" si="29"/>
      </c>
      <c r="BM30" s="210">
        <f t="shared" si="30"/>
      </c>
      <c r="BN30" s="210">
        <f t="shared" si="31"/>
      </c>
      <c r="BO30" s="349">
        <f t="shared" si="5"/>
      </c>
      <c r="BP30" s="345">
        <f t="shared" si="6"/>
      </c>
    </row>
    <row r="31" spans="1:68" s="222" customFormat="1" ht="16.5" customHeight="1">
      <c r="A31" s="114"/>
      <c r="B31" s="115"/>
      <c r="C31" s="115"/>
      <c r="D31" s="213"/>
      <c r="E31" s="115"/>
      <c r="F31" s="115"/>
      <c r="G31" s="115"/>
      <c r="H31" s="115"/>
      <c r="I31" s="115"/>
      <c r="J31" s="223"/>
      <c r="K31" s="224">
        <f>IF(ISNA(VLOOKUP($J$31,Hilfstabelle!$AC$1:$AF$26,4,FALSE)),"",VLOOKUP($J$31,Hilfstabelle!$AC$1:$AF$26,4,FALSE))</f>
      </c>
      <c r="L31" s="296"/>
      <c r="M31" s="296"/>
      <c r="N31" s="296"/>
      <c r="O31" s="296"/>
      <c r="P31" s="307"/>
      <c r="Q31" s="307"/>
      <c r="R31" s="225"/>
      <c r="S31" s="224"/>
      <c r="T31" s="224"/>
      <c r="U31" s="226">
        <f>IF(ISNA(VLOOKUP($R$31&amp;$T$31&amp;$S$31,Hilfstabelle!$D$2:$E$138,2,FALSE)),"",VLOOKUP($R$31&amp;$T$31&amp;$S$31,Hilfstabelle!$D$2:$E$138,2,FALSE))</f>
      </c>
      <c r="V31" s="227">
        <f>IF(ISNUMBER($U$31*$Q$31),($U$31*$Q$31),"")</f>
      </c>
      <c r="W31" s="353">
        <f>IF(ISNUMBER($P$31*$V$31),($P$31*$V$31),"")</f>
      </c>
      <c r="X31" s="357"/>
      <c r="Y31" s="296"/>
      <c r="Z31" s="307"/>
      <c r="AA31" s="307">
        <f t="shared" si="17"/>
      </c>
      <c r="AB31" s="186">
        <v>300</v>
      </c>
      <c r="AC31" s="228">
        <v>0.8</v>
      </c>
      <c r="AD31" s="186">
        <v>0.75</v>
      </c>
      <c r="AE31" s="306">
        <f t="shared" si="18"/>
      </c>
      <c r="AF31" s="292">
        <v>0</v>
      </c>
      <c r="AG31" s="102">
        <f t="shared" si="19"/>
      </c>
      <c r="AH31" s="293">
        <f t="shared" si="20"/>
      </c>
      <c r="AI31" s="140">
        <f>IF(ISNA(VLOOKUP($J$31,$AI$63:$AM$88,4,FALSE)),"",VLOOKUP($J$31,$AI$63:$AM$88,4,FALSE))</f>
      </c>
      <c r="AJ31" s="140">
        <f>IF(ISNA(VLOOKUP($J$31,$AI$63:$AM$88,5,FALSE)),"",VLOOKUP($J$31,$AI$63:$AM$88,5,FALSE))</f>
      </c>
      <c r="AK31" s="97">
        <f t="shared" si="21"/>
      </c>
      <c r="AL31" s="81">
        <f t="shared" si="22"/>
      </c>
      <c r="AM31" s="81">
        <f t="shared" si="23"/>
      </c>
      <c r="AN31" s="294">
        <f t="shared" si="24"/>
      </c>
      <c r="AO31" s="233"/>
      <c r="AP31" s="229">
        <f>IF(0&lt;(AO31*AP10),AO31*AP10,0)</f>
        <v>0</v>
      </c>
      <c r="AQ31" s="230"/>
      <c r="AR31" s="231"/>
      <c r="AS31" s="229"/>
      <c r="AT31" s="229">
        <f>IF(0&lt;(AS31*AT10),AS31*AT10,0)</f>
        <v>0</v>
      </c>
      <c r="AU31" s="232">
        <v>38</v>
      </c>
      <c r="AV31" s="233">
        <v>0.23</v>
      </c>
      <c r="AW31" s="230">
        <v>20</v>
      </c>
      <c r="AX31" s="234">
        <v>3.5</v>
      </c>
      <c r="AY31" s="234">
        <v>1</v>
      </c>
      <c r="AZ31" s="234">
        <v>5</v>
      </c>
      <c r="BA31" s="232">
        <v>50</v>
      </c>
      <c r="BB31" s="232">
        <v>3</v>
      </c>
      <c r="BC31" s="232">
        <v>8</v>
      </c>
      <c r="BD31" s="232">
        <v>1</v>
      </c>
      <c r="BE31" s="230">
        <v>30</v>
      </c>
      <c r="BF31" s="230">
        <v>50000</v>
      </c>
      <c r="BG31" s="205"/>
      <c r="BH31" s="205">
        <f t="shared" si="25"/>
      </c>
      <c r="BI31" s="205">
        <f t="shared" si="26"/>
      </c>
      <c r="BJ31" s="205">
        <f t="shared" si="27"/>
      </c>
      <c r="BK31" s="205">
        <f t="shared" si="28"/>
      </c>
      <c r="BL31" s="205">
        <f t="shared" si="29"/>
      </c>
      <c r="BM31" s="210">
        <f t="shared" si="30"/>
      </c>
      <c r="BN31" s="210">
        <f t="shared" si="31"/>
      </c>
      <c r="BO31" s="349">
        <f t="shared" si="5"/>
      </c>
      <c r="BP31" s="345">
        <f t="shared" si="6"/>
      </c>
    </row>
    <row r="32" spans="1:68" s="222" customFormat="1" ht="16.5" customHeight="1">
      <c r="A32" s="114"/>
      <c r="B32" s="115"/>
      <c r="C32" s="115"/>
      <c r="D32" s="213"/>
      <c r="E32" s="115"/>
      <c r="F32" s="115"/>
      <c r="G32" s="115"/>
      <c r="H32" s="115"/>
      <c r="I32" s="115"/>
      <c r="J32" s="223"/>
      <c r="K32" s="224">
        <f>IF(ISNA(VLOOKUP($J$32,Hilfstabelle!$AC$1:$AF$26,4,FALSE)),"",VLOOKUP($J$32,Hilfstabelle!$AC$1:$AF$26,4,FALSE))</f>
      </c>
      <c r="L32" s="296"/>
      <c r="M32" s="296"/>
      <c r="N32" s="296"/>
      <c r="O32" s="296"/>
      <c r="P32" s="307"/>
      <c r="Q32" s="307"/>
      <c r="R32" s="225"/>
      <c r="S32" s="224"/>
      <c r="T32" s="224"/>
      <c r="U32" s="226">
        <f>IF(ISNA(VLOOKUP($R$32&amp;$T$32&amp;$S$32,Hilfstabelle!$D$2:$E$138,2,FALSE)),"",VLOOKUP($R$32&amp;$T$32&amp;$S$32,Hilfstabelle!$D$2:$E$138,2,FALSE))</f>
      </c>
      <c r="V32" s="227">
        <f>IF(ISNUMBER($U$32*$Q$32),($U$32*$Q$32),"")</f>
      </c>
      <c r="W32" s="353">
        <f>IF(ISNUMBER($P$32*$V$32),($P$32*$V$32),"")</f>
      </c>
      <c r="X32" s="357"/>
      <c r="Y32" s="296"/>
      <c r="Z32" s="307"/>
      <c r="AA32" s="307">
        <f t="shared" si="17"/>
      </c>
      <c r="AB32" s="186">
        <v>300</v>
      </c>
      <c r="AC32" s="228">
        <v>0.8</v>
      </c>
      <c r="AD32" s="186">
        <v>0.75</v>
      </c>
      <c r="AE32" s="306">
        <f t="shared" si="18"/>
      </c>
      <c r="AF32" s="292">
        <v>0</v>
      </c>
      <c r="AG32" s="102">
        <f t="shared" si="19"/>
      </c>
      <c r="AH32" s="293">
        <f t="shared" si="20"/>
      </c>
      <c r="AI32" s="140">
        <f>IF(ISNA(VLOOKUP($J$32,$AI$63:$AM$88,4,FALSE)),"",VLOOKUP($J$32,$AI$63:$AM$88,4,FALSE))</f>
      </c>
      <c r="AJ32" s="140">
        <f>IF(ISNA(VLOOKUP($J$32,$AI$63:$AM$88,5,FALSE)),"",VLOOKUP($J$32,$AI$63:$AM$88,5,FALSE))</f>
      </c>
      <c r="AK32" s="97">
        <f t="shared" si="21"/>
      </c>
      <c r="AL32" s="81">
        <f t="shared" si="22"/>
      </c>
      <c r="AM32" s="81">
        <f t="shared" si="23"/>
      </c>
      <c r="AN32" s="294">
        <f t="shared" si="24"/>
      </c>
      <c r="AO32" s="233"/>
      <c r="AP32" s="229">
        <f>IF(0&lt;(AO32*AP10),AO32*AP10,0)</f>
        <v>0</v>
      </c>
      <c r="AQ32" s="230"/>
      <c r="AR32" s="231"/>
      <c r="AS32" s="229"/>
      <c r="AT32" s="229">
        <f>IF(0&lt;(AS32*AT10),AS32*AT10,0)</f>
        <v>0</v>
      </c>
      <c r="AU32" s="232">
        <v>38</v>
      </c>
      <c r="AV32" s="233">
        <v>0.23</v>
      </c>
      <c r="AW32" s="230">
        <v>20</v>
      </c>
      <c r="AX32" s="234">
        <v>3.5</v>
      </c>
      <c r="AY32" s="234">
        <v>1</v>
      </c>
      <c r="AZ32" s="234">
        <v>5</v>
      </c>
      <c r="BA32" s="232">
        <v>50</v>
      </c>
      <c r="BB32" s="232">
        <v>3</v>
      </c>
      <c r="BC32" s="232">
        <v>8</v>
      </c>
      <c r="BD32" s="232">
        <v>1</v>
      </c>
      <c r="BE32" s="230">
        <v>30</v>
      </c>
      <c r="BF32" s="230">
        <v>50000</v>
      </c>
      <c r="BG32" s="205"/>
      <c r="BH32" s="205">
        <f t="shared" si="25"/>
      </c>
      <c r="BI32" s="205">
        <f t="shared" si="26"/>
      </c>
      <c r="BJ32" s="205">
        <f t="shared" si="27"/>
      </c>
      <c r="BK32" s="205">
        <f t="shared" si="28"/>
      </c>
      <c r="BL32" s="205">
        <f t="shared" si="29"/>
      </c>
      <c r="BM32" s="210">
        <f t="shared" si="30"/>
      </c>
      <c r="BN32" s="210">
        <f t="shared" si="31"/>
      </c>
      <c r="BO32" s="349">
        <f t="shared" si="5"/>
      </c>
      <c r="BP32" s="345">
        <f t="shared" si="6"/>
      </c>
    </row>
    <row r="33" spans="1:68" s="222" customFormat="1" ht="16.5" customHeight="1">
      <c r="A33" s="114"/>
      <c r="B33" s="115"/>
      <c r="C33" s="115"/>
      <c r="D33" s="213"/>
      <c r="E33" s="115"/>
      <c r="F33" s="115"/>
      <c r="G33" s="115"/>
      <c r="H33" s="115"/>
      <c r="I33" s="115"/>
      <c r="J33" s="223"/>
      <c r="K33" s="224">
        <f>IF(ISNA(VLOOKUP($J$33,Hilfstabelle!$AC$1:$AF$26,4,FALSE)),"",VLOOKUP($J$33,Hilfstabelle!$AC$1:$AF$26,4,FALSE))</f>
      </c>
      <c r="L33" s="296"/>
      <c r="M33" s="296"/>
      <c r="N33" s="296"/>
      <c r="O33" s="296"/>
      <c r="P33" s="307"/>
      <c r="Q33" s="307"/>
      <c r="R33" s="225"/>
      <c r="S33" s="224"/>
      <c r="T33" s="224"/>
      <c r="U33" s="226">
        <f>IF(ISNA(VLOOKUP($R$33&amp;$T$33&amp;$S$33,Hilfstabelle!$D$2:$E$138,2,FALSE)),"",VLOOKUP($R$33&amp;$T$33&amp;$S$33,Hilfstabelle!$D$2:$E$138,2,FALSE))</f>
      </c>
      <c r="V33" s="227">
        <f>IF(ISNUMBER($U$33*$Q$33),($U$33*$Q$33),"")</f>
      </c>
      <c r="W33" s="353">
        <f>IF(ISNUMBER($P$33*$V$33),($P$33*$V$33),"")</f>
      </c>
      <c r="X33" s="357"/>
      <c r="Y33" s="296"/>
      <c r="Z33" s="307"/>
      <c r="AA33" s="307">
        <f t="shared" si="17"/>
      </c>
      <c r="AB33" s="186">
        <v>300</v>
      </c>
      <c r="AC33" s="228">
        <v>0.8</v>
      </c>
      <c r="AD33" s="186">
        <v>0.75</v>
      </c>
      <c r="AE33" s="306">
        <f t="shared" si="18"/>
      </c>
      <c r="AF33" s="292">
        <v>0</v>
      </c>
      <c r="AG33" s="102">
        <f t="shared" si="19"/>
      </c>
      <c r="AH33" s="293">
        <f t="shared" si="20"/>
      </c>
      <c r="AI33" s="140">
        <f>IF(ISNA(VLOOKUP($J$33,$AI$63:$AM$88,4,FALSE)),"",VLOOKUP($J$33,$AI$63:$AM$88,4,FALSE))</f>
      </c>
      <c r="AJ33" s="140">
        <f>IF(ISNA(VLOOKUP($J$33,$AI$63:$AM$88,5,FALSE)),"",VLOOKUP($J$33,$AI$63:$AM$88,5,FALSE))</f>
      </c>
      <c r="AK33" s="97">
        <f t="shared" si="21"/>
      </c>
      <c r="AL33" s="81">
        <f t="shared" si="22"/>
      </c>
      <c r="AM33" s="81">
        <f t="shared" si="23"/>
      </c>
      <c r="AN33" s="294">
        <f t="shared" si="24"/>
      </c>
      <c r="AO33" s="233"/>
      <c r="AP33" s="229">
        <f>IF(0&lt;(AO33*AP10),AO33*AP10,0)</f>
        <v>0</v>
      </c>
      <c r="AQ33" s="230"/>
      <c r="AR33" s="231"/>
      <c r="AS33" s="229"/>
      <c r="AT33" s="229">
        <f>IF(0&lt;(AS33*AT10),AS33*AT10,0)</f>
        <v>0</v>
      </c>
      <c r="AU33" s="232">
        <v>38</v>
      </c>
      <c r="AV33" s="233">
        <v>0.23</v>
      </c>
      <c r="AW33" s="230">
        <v>20</v>
      </c>
      <c r="AX33" s="234">
        <v>3.5</v>
      </c>
      <c r="AY33" s="234">
        <v>1</v>
      </c>
      <c r="AZ33" s="234">
        <v>5</v>
      </c>
      <c r="BA33" s="232">
        <v>50</v>
      </c>
      <c r="BB33" s="232">
        <v>3</v>
      </c>
      <c r="BC33" s="232">
        <v>8</v>
      </c>
      <c r="BD33" s="232">
        <v>1</v>
      </c>
      <c r="BE33" s="230">
        <v>30</v>
      </c>
      <c r="BF33" s="230">
        <v>50000</v>
      </c>
      <c r="BG33" s="205"/>
      <c r="BH33" s="205">
        <f t="shared" si="25"/>
      </c>
      <c r="BI33" s="205">
        <f t="shared" si="26"/>
      </c>
      <c r="BJ33" s="205">
        <f t="shared" si="27"/>
      </c>
      <c r="BK33" s="205">
        <f t="shared" si="28"/>
      </c>
      <c r="BL33" s="205">
        <f t="shared" si="29"/>
      </c>
      <c r="BM33" s="210">
        <f t="shared" si="30"/>
      </c>
      <c r="BN33" s="210">
        <f t="shared" si="31"/>
      </c>
      <c r="BO33" s="349">
        <f t="shared" si="5"/>
      </c>
      <c r="BP33" s="345">
        <f t="shared" si="6"/>
      </c>
    </row>
    <row r="34" spans="1:68" s="222" customFormat="1" ht="16.5" customHeight="1" thickBot="1">
      <c r="A34" s="127"/>
      <c r="B34" s="128"/>
      <c r="C34" s="128"/>
      <c r="D34" s="214"/>
      <c r="E34" s="128"/>
      <c r="F34" s="128"/>
      <c r="G34" s="128"/>
      <c r="H34" s="128"/>
      <c r="I34" s="128"/>
      <c r="J34" s="328"/>
      <c r="K34" s="329">
        <f>IF(ISNA(VLOOKUP($J$34,Hilfstabelle!$AC$1:$AF$26,4,FALSE)),"",VLOOKUP($J$34,Hilfstabelle!$AC$1:$AF$26,4,FALSE))</f>
      </c>
      <c r="L34" s="330"/>
      <c r="M34" s="330"/>
      <c r="N34" s="330"/>
      <c r="O34" s="330"/>
      <c r="P34" s="331"/>
      <c r="Q34" s="331"/>
      <c r="R34" s="332"/>
      <c r="S34" s="329"/>
      <c r="T34" s="329"/>
      <c r="U34" s="333">
        <f>IF(ISNA(VLOOKUP($R$34&amp;$T$34&amp;$S$34,Hilfstabelle!$D$2:$E$138,2,FALSE)),"",VLOOKUP($R$34&amp;$T$34&amp;$S$34,Hilfstabelle!$D$2:$E$138,2,FALSE))</f>
      </c>
      <c r="V34" s="334">
        <f>IF(ISNUMBER($U$34*$Q$34),($U$34*$Q$34),"")</f>
      </c>
      <c r="W34" s="354">
        <f>IF(ISNUMBER($P$34*$V$34),($P$34*$V$34),"")</f>
      </c>
      <c r="X34" s="359"/>
      <c r="Y34" s="330"/>
      <c r="Z34" s="331"/>
      <c r="AA34" s="331">
        <f t="shared" si="17"/>
      </c>
      <c r="AB34" s="335">
        <v>300</v>
      </c>
      <c r="AC34" s="336">
        <v>0.8</v>
      </c>
      <c r="AD34" s="335">
        <v>0.75</v>
      </c>
      <c r="AE34" s="337">
        <f t="shared" si="18"/>
      </c>
      <c r="AF34" s="298">
        <v>0</v>
      </c>
      <c r="AG34" s="178">
        <f t="shared" si="19"/>
      </c>
      <c r="AH34" s="299">
        <f t="shared" si="20"/>
      </c>
      <c r="AI34" s="179">
        <f>IF(ISNA(VLOOKUP($J$34,$AI$63:$AM$88,4,FALSE)),"",VLOOKUP($J$34,$AI$63:$AM$88,4,FALSE))</f>
      </c>
      <c r="AJ34" s="179">
        <f>IF(ISNA(VLOOKUP($J$34,$AI$63:$AM$88,5,FALSE)),"",VLOOKUP($J$34,$AI$63:$AM$88,5,FALSE))</f>
      </c>
      <c r="AK34" s="180">
        <f t="shared" si="21"/>
      </c>
      <c r="AL34" s="181">
        <f t="shared" si="22"/>
      </c>
      <c r="AM34" s="181">
        <f t="shared" si="23"/>
      </c>
      <c r="AN34" s="300">
        <f t="shared" si="24"/>
      </c>
      <c r="AO34" s="338"/>
      <c r="AP34" s="339">
        <f>IF(0&lt;(AO34*AP10),AO34*AP10,0)</f>
        <v>0</v>
      </c>
      <c r="AQ34" s="340"/>
      <c r="AR34" s="341"/>
      <c r="AS34" s="339"/>
      <c r="AT34" s="339">
        <f>IF(0&lt;(AS34*AT10),AS34*AT10,0)</f>
        <v>0</v>
      </c>
      <c r="AU34" s="342">
        <v>38</v>
      </c>
      <c r="AV34" s="338">
        <v>0.23</v>
      </c>
      <c r="AW34" s="340">
        <v>20</v>
      </c>
      <c r="AX34" s="343">
        <v>3.5</v>
      </c>
      <c r="AY34" s="343">
        <v>1</v>
      </c>
      <c r="AZ34" s="343">
        <v>5</v>
      </c>
      <c r="BA34" s="342">
        <v>50</v>
      </c>
      <c r="BB34" s="342">
        <v>3</v>
      </c>
      <c r="BC34" s="342">
        <v>8</v>
      </c>
      <c r="BD34" s="342">
        <v>1</v>
      </c>
      <c r="BE34" s="340">
        <v>30</v>
      </c>
      <c r="BF34" s="340">
        <v>50000</v>
      </c>
      <c r="BG34" s="206"/>
      <c r="BH34" s="206">
        <f t="shared" si="25"/>
      </c>
      <c r="BI34" s="206">
        <f t="shared" si="26"/>
      </c>
      <c r="BJ34" s="206">
        <f t="shared" si="27"/>
      </c>
      <c r="BK34" s="206">
        <f t="shared" si="28"/>
      </c>
      <c r="BL34" s="206">
        <f t="shared" si="29"/>
      </c>
      <c r="BM34" s="301">
        <f t="shared" si="30"/>
      </c>
      <c r="BN34" s="301">
        <f t="shared" si="31"/>
      </c>
      <c r="BO34" s="350">
        <f t="shared" si="5"/>
      </c>
      <c r="BP34" s="346">
        <f t="shared" si="6"/>
      </c>
    </row>
    <row r="35" spans="1:68" s="222" customFormat="1" ht="16.5" customHeight="1">
      <c r="A35" s="162"/>
      <c r="B35" s="163"/>
      <c r="C35" s="163"/>
      <c r="D35" s="215"/>
      <c r="E35" s="163"/>
      <c r="F35" s="163"/>
      <c r="G35" s="163"/>
      <c r="H35" s="163"/>
      <c r="I35" s="163"/>
      <c r="J35" s="313"/>
      <c r="K35" s="314">
        <f>IF(ISNA(VLOOKUP($J$35,Hilfstabelle!$AC$1:$AF$26,4,FALSE)),"",VLOOKUP($J$35,Hilfstabelle!$AC$1:$AF$26,4,FALSE))</f>
      </c>
      <c r="L35" s="315"/>
      <c r="M35" s="315"/>
      <c r="N35" s="315"/>
      <c r="O35" s="315"/>
      <c r="P35" s="316"/>
      <c r="Q35" s="316"/>
      <c r="R35" s="317"/>
      <c r="S35" s="314"/>
      <c r="T35" s="314"/>
      <c r="U35" s="318">
        <f>IF(ISNA(VLOOKUP($R$35&amp;$T$35&amp;$S$35,Hilfstabelle!$D$2:$E$138,2,FALSE)),"",VLOOKUP($R$35&amp;$T$35&amp;$S$35,Hilfstabelle!$D$2:$E$138,2,FALSE))</f>
      </c>
      <c r="V35" s="319">
        <f>IF(ISNUMBER($U$35*$Q$35),($U$35*$Q$35),"")</f>
      </c>
      <c r="W35" s="352">
        <f>IF(ISNUMBER($P$35*$V$35),($P$35*$V$35),"")</f>
      </c>
      <c r="X35" s="356"/>
      <c r="Y35" s="315"/>
      <c r="Z35" s="316"/>
      <c r="AA35" s="316">
        <f t="shared" si="17"/>
      </c>
      <c r="AB35" s="238">
        <v>300</v>
      </c>
      <c r="AC35" s="320">
        <v>0.8</v>
      </c>
      <c r="AD35" s="238">
        <v>0.75</v>
      </c>
      <c r="AE35" s="321">
        <f t="shared" si="18"/>
      </c>
      <c r="AF35" s="303">
        <v>0</v>
      </c>
      <c r="AG35" s="169">
        <f t="shared" si="19"/>
      </c>
      <c r="AH35" s="304">
        <f t="shared" si="20"/>
      </c>
      <c r="AI35" s="139">
        <f>IF(ISNA(VLOOKUP($J$35,$AI$63:$AM$88,4,FALSE)),"",VLOOKUP($J$35,$AI$63:$AM$88,4,FALSE))</f>
      </c>
      <c r="AJ35" s="139">
        <f>IF(ISNA(VLOOKUP($J$35,$AI$63:$AM$88,5,FALSE)),"",VLOOKUP($J$35,$AI$63:$AM$88,5,FALSE))</f>
      </c>
      <c r="AK35" s="96">
        <f t="shared" si="21"/>
      </c>
      <c r="AL35" s="79">
        <f t="shared" si="22"/>
      </c>
      <c r="AM35" s="79">
        <f t="shared" si="23"/>
      </c>
      <c r="AN35" s="305">
        <f t="shared" si="24"/>
      </c>
      <c r="AO35" s="322"/>
      <c r="AP35" s="323">
        <f>IF(0&lt;(AO35*AP10),AO35*AP10,0)</f>
        <v>0</v>
      </c>
      <c r="AQ35" s="324"/>
      <c r="AR35" s="325"/>
      <c r="AS35" s="323"/>
      <c r="AT35" s="323">
        <f>IF(0&lt;(AS35*AT10),AS35*AT10,0)</f>
        <v>0</v>
      </c>
      <c r="AU35" s="326">
        <v>38</v>
      </c>
      <c r="AV35" s="322">
        <v>0.23</v>
      </c>
      <c r="AW35" s="324">
        <v>20</v>
      </c>
      <c r="AX35" s="327">
        <v>3.5</v>
      </c>
      <c r="AY35" s="327">
        <v>1</v>
      </c>
      <c r="AZ35" s="327">
        <v>5</v>
      </c>
      <c r="BA35" s="326">
        <v>50</v>
      </c>
      <c r="BB35" s="326">
        <v>3</v>
      </c>
      <c r="BC35" s="326">
        <v>8</v>
      </c>
      <c r="BD35" s="326">
        <v>1</v>
      </c>
      <c r="BE35" s="324">
        <v>30</v>
      </c>
      <c r="BF35" s="324">
        <v>50000</v>
      </c>
      <c r="BG35" s="207"/>
      <c r="BH35" s="207">
        <f t="shared" si="25"/>
      </c>
      <c r="BI35" s="207">
        <f t="shared" si="26"/>
      </c>
      <c r="BJ35" s="207">
        <f t="shared" si="27"/>
      </c>
      <c r="BK35" s="207">
        <f t="shared" si="28"/>
      </c>
      <c r="BL35" s="207">
        <f t="shared" si="29"/>
      </c>
      <c r="BM35" s="240">
        <f t="shared" si="30"/>
      </c>
      <c r="BN35" s="240">
        <f t="shared" si="31"/>
      </c>
      <c r="BO35" s="348">
        <f t="shared" si="5"/>
      </c>
      <c r="BP35" s="344">
        <f t="shared" si="6"/>
      </c>
    </row>
    <row r="36" spans="1:68" s="80" customFormat="1" ht="16.5" customHeight="1">
      <c r="A36" s="114"/>
      <c r="B36" s="115"/>
      <c r="C36" s="115"/>
      <c r="D36" s="213"/>
      <c r="E36" s="115"/>
      <c r="F36" s="115"/>
      <c r="G36" s="115"/>
      <c r="H36" s="115"/>
      <c r="I36" s="115"/>
      <c r="J36" s="223"/>
      <c r="K36" s="224">
        <f>IF(ISNA(VLOOKUP($J$36,Hilfstabelle!$AC$1:$AF$26,4,FALSE)),"",VLOOKUP($J$36,Hilfstabelle!$AC$1:$AF$26,4,FALSE))</f>
      </c>
      <c r="L36" s="116"/>
      <c r="M36" s="116"/>
      <c r="N36" s="116"/>
      <c r="O36" s="116"/>
      <c r="P36" s="117"/>
      <c r="Q36" s="117"/>
      <c r="R36" s="225"/>
      <c r="S36" s="224"/>
      <c r="T36" s="224"/>
      <c r="U36" s="226">
        <f>IF(ISNA(VLOOKUP($R$36&amp;$T$36&amp;$S$36,Hilfstabelle!$D$2:$E$138,2,FALSE)),"",VLOOKUP($R$36&amp;$T$36&amp;$S$36,Hilfstabelle!$D$2:$E$138,2,FALSE))</f>
      </c>
      <c r="V36" s="227">
        <f>IF(ISNUMBER($U$36*$Q$36),($U$36*$Q$36),"")</f>
      </c>
      <c r="W36" s="353">
        <f>IF(ISNUMBER($P$36*$V$36),($P$36*$V$36),"")</f>
      </c>
      <c r="X36" s="357"/>
      <c r="Y36" s="116"/>
      <c r="Z36" s="117"/>
      <c r="AA36" s="117">
        <f t="shared" si="17"/>
      </c>
      <c r="AB36" s="186">
        <v>300</v>
      </c>
      <c r="AC36" s="228">
        <v>0.8</v>
      </c>
      <c r="AD36" s="186">
        <v>0.75</v>
      </c>
      <c r="AE36" s="306">
        <f t="shared" si="18"/>
      </c>
      <c r="AF36" s="292">
        <v>0</v>
      </c>
      <c r="AG36" s="102">
        <f t="shared" si="19"/>
      </c>
      <c r="AH36" s="293">
        <f t="shared" si="20"/>
      </c>
      <c r="AI36" s="140">
        <f>IF(ISNA(VLOOKUP($J$36,$AI$63:$AM$88,4,FALSE)),"",VLOOKUP($J$36,$AI$63:$AM$88,4,FALSE))</f>
      </c>
      <c r="AJ36" s="140">
        <f>IF(ISNA(VLOOKUP($J$36,$AI$63:$AM$88,5,FALSE)),"",VLOOKUP($J$36,$AI$63:$AM$88,5,FALSE))</f>
      </c>
      <c r="AK36" s="97">
        <f t="shared" si="21"/>
      </c>
      <c r="AL36" s="81">
        <f t="shared" si="22"/>
      </c>
      <c r="AM36" s="81">
        <f t="shared" si="23"/>
      </c>
      <c r="AN36" s="294">
        <f t="shared" si="24"/>
      </c>
      <c r="AO36" s="233"/>
      <c r="AP36" s="229">
        <f>IF(0&lt;(AO36*AP10),AO36*AP10,0)</f>
        <v>0</v>
      </c>
      <c r="AQ36" s="230"/>
      <c r="AR36" s="231"/>
      <c r="AS36" s="229"/>
      <c r="AT36" s="229">
        <f>IF(0&lt;(AS36*AT10),AS36*AT10,0)</f>
        <v>0</v>
      </c>
      <c r="AU36" s="232">
        <v>38</v>
      </c>
      <c r="AV36" s="233">
        <v>0.23</v>
      </c>
      <c r="AW36" s="230">
        <v>20</v>
      </c>
      <c r="AX36" s="234">
        <v>3.5</v>
      </c>
      <c r="AY36" s="234">
        <v>1</v>
      </c>
      <c r="AZ36" s="234">
        <v>5</v>
      </c>
      <c r="BA36" s="232">
        <v>50</v>
      </c>
      <c r="BB36" s="232">
        <v>3</v>
      </c>
      <c r="BC36" s="232">
        <v>8</v>
      </c>
      <c r="BD36" s="232">
        <v>1</v>
      </c>
      <c r="BE36" s="230">
        <v>30</v>
      </c>
      <c r="BF36" s="230">
        <v>50000</v>
      </c>
      <c r="BG36" s="205"/>
      <c r="BH36" s="205">
        <f t="shared" si="25"/>
      </c>
      <c r="BI36" s="205">
        <f t="shared" si="26"/>
      </c>
      <c r="BJ36" s="205">
        <f t="shared" si="27"/>
      </c>
      <c r="BK36" s="205">
        <f t="shared" si="28"/>
      </c>
      <c r="BL36" s="205">
        <f t="shared" si="29"/>
      </c>
      <c r="BM36" s="210">
        <f t="shared" si="30"/>
      </c>
      <c r="BN36" s="210">
        <f t="shared" si="31"/>
      </c>
      <c r="BO36" s="349">
        <f t="shared" si="5"/>
      </c>
      <c r="BP36" s="345">
        <f t="shared" si="6"/>
      </c>
    </row>
    <row r="37" spans="1:68" s="80" customFormat="1" ht="16.5" customHeight="1">
      <c r="A37" s="114"/>
      <c r="B37" s="115"/>
      <c r="C37" s="115"/>
      <c r="D37" s="213"/>
      <c r="E37" s="115"/>
      <c r="F37" s="115"/>
      <c r="G37" s="115"/>
      <c r="H37" s="115"/>
      <c r="I37" s="115"/>
      <c r="J37" s="187"/>
      <c r="K37" s="125">
        <f>IF(ISNA(VLOOKUP($J$37,Hilfstabelle!$AC$1:$AF$26,4,FALSE)),"",VLOOKUP($J$37,Hilfstabelle!$AC$1:$AF$26,4,FALSE))</f>
      </c>
      <c r="L37" s="116"/>
      <c r="M37" s="116"/>
      <c r="N37" s="116"/>
      <c r="O37" s="116"/>
      <c r="P37" s="117"/>
      <c r="Q37" s="117"/>
      <c r="R37" s="118"/>
      <c r="S37" s="125"/>
      <c r="T37" s="125"/>
      <c r="U37" s="126">
        <f>IF(ISNA(VLOOKUP($R$37&amp;$T$37&amp;$S$37,Hilfstabelle!$D$2:$E$138,2,FALSE)),"",VLOOKUP($R$37&amp;$T$37&amp;$S$37,Hilfstabelle!$D$2:$E$138,2,FALSE))</f>
      </c>
      <c r="V37" s="78">
        <f>IF(ISNUMBER($U$37*$Q$37),($U$37*$Q$37),"")</f>
      </c>
      <c r="W37" s="353">
        <f>IF(ISNUMBER($P$37*$V$37),($P$37*$V$37),"")</f>
      </c>
      <c r="X37" s="357"/>
      <c r="Y37" s="116"/>
      <c r="Z37" s="117"/>
      <c r="AA37" s="117">
        <f t="shared" si="16"/>
      </c>
      <c r="AB37" s="135">
        <v>300</v>
      </c>
      <c r="AC37" s="136">
        <v>0.8</v>
      </c>
      <c r="AD37" s="135">
        <v>0.75</v>
      </c>
      <c r="AE37" s="291">
        <f t="shared" si="0"/>
      </c>
      <c r="AF37" s="292">
        <v>0</v>
      </c>
      <c r="AG37" s="102">
        <f t="shared" si="1"/>
      </c>
      <c r="AH37" s="293">
        <f t="shared" si="2"/>
      </c>
      <c r="AI37" s="140">
        <f>IF(ISNA(VLOOKUP($J$37,$AI$63:$AM$88,4,FALSE)),"",VLOOKUP($J$37,$AI$63:$AM$88,4,FALSE))</f>
      </c>
      <c r="AJ37" s="140">
        <f>IF(ISNA(VLOOKUP($J$37,$AI$63:$AM$88,5,FALSE)),"",VLOOKUP($J$37,$AI$63:$AM$88,5,FALSE))</f>
      </c>
      <c r="AK37" s="97">
        <f t="shared" si="7"/>
      </c>
      <c r="AL37" s="81">
        <f t="shared" si="3"/>
      </c>
      <c r="AM37" s="81">
        <f t="shared" si="8"/>
      </c>
      <c r="AN37" s="294">
        <f t="shared" si="4"/>
      </c>
      <c r="AO37" s="160"/>
      <c r="AP37" s="193">
        <f>IF(0&lt;(AO37*AP10),AO37*AP10,0)</f>
        <v>0</v>
      </c>
      <c r="AQ37" s="142"/>
      <c r="AR37" s="200"/>
      <c r="AS37" s="193"/>
      <c r="AT37" s="193">
        <f>IF(0&lt;(AS37*AT10),AS37*AT10,0)</f>
        <v>0</v>
      </c>
      <c r="AU37" s="146">
        <v>38</v>
      </c>
      <c r="AV37" s="160">
        <v>0.23</v>
      </c>
      <c r="AW37" s="142">
        <v>20</v>
      </c>
      <c r="AX37" s="147">
        <v>3.5</v>
      </c>
      <c r="AY37" s="147">
        <v>1</v>
      </c>
      <c r="AZ37" s="147">
        <v>5</v>
      </c>
      <c r="BA37" s="146">
        <v>50</v>
      </c>
      <c r="BB37" s="146">
        <v>3</v>
      </c>
      <c r="BC37" s="146">
        <v>8</v>
      </c>
      <c r="BD37" s="146">
        <v>1</v>
      </c>
      <c r="BE37" s="142">
        <v>30</v>
      </c>
      <c r="BF37" s="142">
        <v>50000</v>
      </c>
      <c r="BG37" s="205"/>
      <c r="BH37" s="205">
        <f t="shared" si="9"/>
      </c>
      <c r="BI37" s="205">
        <f t="shared" si="10"/>
      </c>
      <c r="BJ37" s="205">
        <f t="shared" si="11"/>
      </c>
      <c r="BK37" s="205">
        <f t="shared" si="12"/>
      </c>
      <c r="BL37" s="205">
        <f t="shared" si="13"/>
      </c>
      <c r="BM37" s="210">
        <f t="shared" si="14"/>
      </c>
      <c r="BN37" s="210">
        <f t="shared" si="15"/>
      </c>
      <c r="BO37" s="349">
        <f t="shared" si="5"/>
      </c>
      <c r="BP37" s="345">
        <f t="shared" si="6"/>
      </c>
    </row>
    <row r="38" spans="1:68" s="80" customFormat="1" ht="16.5" customHeight="1">
      <c r="A38" s="114"/>
      <c r="B38" s="115"/>
      <c r="C38" s="115"/>
      <c r="D38" s="213"/>
      <c r="E38" s="115"/>
      <c r="F38" s="115"/>
      <c r="G38" s="115"/>
      <c r="H38" s="115"/>
      <c r="I38" s="115"/>
      <c r="J38" s="187"/>
      <c r="K38" s="125">
        <f>IF(ISNA(VLOOKUP($J$38,Hilfstabelle!$AC$1:$AF$26,4,FALSE)),"",VLOOKUP($J$38,Hilfstabelle!$AC$1:$AF$26,4,FALSE))</f>
      </c>
      <c r="L38" s="116"/>
      <c r="M38" s="116"/>
      <c r="N38" s="116"/>
      <c r="O38" s="116"/>
      <c r="P38" s="117"/>
      <c r="Q38" s="117"/>
      <c r="R38" s="118"/>
      <c r="S38" s="125"/>
      <c r="T38" s="125"/>
      <c r="U38" s="126">
        <f>IF(ISNA(VLOOKUP($R$38&amp;$T$38&amp;$S$38,Hilfstabelle!$D$2:$E$138,2,FALSE)),"",VLOOKUP($R$38&amp;$T$38&amp;$S$38,Hilfstabelle!$D$2:$E$138,2,FALSE))</f>
      </c>
      <c r="V38" s="78">
        <f>IF(ISNUMBER($U$38*$Q$38),($U$38*$Q$38),"")</f>
      </c>
      <c r="W38" s="353">
        <f>IF(ISNUMBER($P$38*$V$38),($P$38*$V$38),"")</f>
      </c>
      <c r="X38" s="357"/>
      <c r="Y38" s="116"/>
      <c r="Z38" s="117"/>
      <c r="AA38" s="117">
        <f t="shared" si="16"/>
      </c>
      <c r="AB38" s="135">
        <v>300</v>
      </c>
      <c r="AC38" s="136">
        <v>0.8</v>
      </c>
      <c r="AD38" s="135">
        <v>0.75</v>
      </c>
      <c r="AE38" s="291">
        <f t="shared" si="0"/>
      </c>
      <c r="AF38" s="292">
        <v>0</v>
      </c>
      <c r="AG38" s="102">
        <f t="shared" si="1"/>
      </c>
      <c r="AH38" s="293">
        <f t="shared" si="2"/>
      </c>
      <c r="AI38" s="140">
        <f>IF(ISNA(VLOOKUP($J$38,$AI$63:$AM$88,4,FALSE)),"",VLOOKUP($J$38,$AI$63:$AM$88,4,FALSE))</f>
      </c>
      <c r="AJ38" s="140">
        <f>IF(ISNA(VLOOKUP($J$38,$AI$63:$AM$88,5,FALSE)),"",VLOOKUP($J$38,$AI$63:$AM$88,5,FALSE))</f>
      </c>
      <c r="AK38" s="97">
        <f t="shared" si="7"/>
      </c>
      <c r="AL38" s="81">
        <f t="shared" si="3"/>
      </c>
      <c r="AM38" s="81">
        <f t="shared" si="8"/>
      </c>
      <c r="AN38" s="294">
        <f t="shared" si="4"/>
      </c>
      <c r="AO38" s="160"/>
      <c r="AP38" s="193">
        <f>IF(0&lt;(AO38*AP10),AO38*AP10,0)</f>
        <v>0</v>
      </c>
      <c r="AQ38" s="142"/>
      <c r="AR38" s="200"/>
      <c r="AS38" s="193"/>
      <c r="AT38" s="193">
        <f>IF(0&lt;(AS38*AT10),AS38*AT10,0)</f>
        <v>0</v>
      </c>
      <c r="AU38" s="146">
        <v>38</v>
      </c>
      <c r="AV38" s="160">
        <v>0.23</v>
      </c>
      <c r="AW38" s="142">
        <v>20</v>
      </c>
      <c r="AX38" s="147">
        <v>3.5</v>
      </c>
      <c r="AY38" s="147">
        <v>1</v>
      </c>
      <c r="AZ38" s="147">
        <v>5</v>
      </c>
      <c r="BA38" s="146">
        <v>50</v>
      </c>
      <c r="BB38" s="146">
        <v>3</v>
      </c>
      <c r="BC38" s="146">
        <v>8</v>
      </c>
      <c r="BD38" s="146">
        <v>1</v>
      </c>
      <c r="BE38" s="142">
        <v>30</v>
      </c>
      <c r="BF38" s="142">
        <v>50000</v>
      </c>
      <c r="BG38" s="205"/>
      <c r="BH38" s="205">
        <f t="shared" si="9"/>
      </c>
      <c r="BI38" s="205">
        <f t="shared" si="10"/>
      </c>
      <c r="BJ38" s="205">
        <f t="shared" si="11"/>
      </c>
      <c r="BK38" s="205">
        <f t="shared" si="12"/>
      </c>
      <c r="BL38" s="205">
        <f t="shared" si="13"/>
      </c>
      <c r="BM38" s="210">
        <f t="shared" si="14"/>
      </c>
      <c r="BN38" s="210">
        <f t="shared" si="15"/>
      </c>
      <c r="BO38" s="349">
        <f t="shared" si="5"/>
      </c>
      <c r="BP38" s="345">
        <f t="shared" si="6"/>
      </c>
    </row>
    <row r="39" spans="1:68" s="80" customFormat="1" ht="16.5" customHeight="1">
      <c r="A39" s="114"/>
      <c r="B39" s="115"/>
      <c r="C39" s="115"/>
      <c r="D39" s="213"/>
      <c r="E39" s="115"/>
      <c r="F39" s="115"/>
      <c r="G39" s="115"/>
      <c r="H39" s="115"/>
      <c r="I39" s="115"/>
      <c r="J39" s="187"/>
      <c r="K39" s="125">
        <f>IF(ISNA(VLOOKUP($J$39,Hilfstabelle!$AC$1:$AF$26,4,FALSE)),"",VLOOKUP($J$39,Hilfstabelle!$AC$1:$AF$26,4,FALSE))</f>
      </c>
      <c r="L39" s="116"/>
      <c r="M39" s="116"/>
      <c r="N39" s="116"/>
      <c r="O39" s="116"/>
      <c r="P39" s="117"/>
      <c r="Q39" s="117"/>
      <c r="R39" s="118"/>
      <c r="S39" s="125"/>
      <c r="T39" s="125"/>
      <c r="U39" s="126">
        <f>IF(ISNA(VLOOKUP($R$39&amp;$T$39&amp;$S$39,Hilfstabelle!$D$2:$E$138,2,FALSE)),"",VLOOKUP($R$39&amp;$T$39&amp;$S$39,Hilfstabelle!$D$2:$E$138,2,FALSE))</f>
      </c>
      <c r="V39" s="78">
        <f>IF(ISNUMBER($U$39*$Q$39),($U$39*$Q$39),"")</f>
      </c>
      <c r="W39" s="353">
        <f>IF(ISNUMBER($P$39*$V$39),($P$39*$V$39),"")</f>
      </c>
      <c r="X39" s="357"/>
      <c r="Y39" s="116"/>
      <c r="Z39" s="117"/>
      <c r="AA39" s="117">
        <f t="shared" si="16"/>
      </c>
      <c r="AB39" s="135">
        <v>300</v>
      </c>
      <c r="AC39" s="136">
        <v>0.8</v>
      </c>
      <c r="AD39" s="135">
        <v>0.75</v>
      </c>
      <c r="AE39" s="291">
        <f t="shared" si="0"/>
      </c>
      <c r="AF39" s="292">
        <v>0</v>
      </c>
      <c r="AG39" s="102">
        <f t="shared" si="1"/>
      </c>
      <c r="AH39" s="293">
        <f t="shared" si="2"/>
      </c>
      <c r="AI39" s="140">
        <f>IF(ISNA(VLOOKUP($J$39,$AI$63:$AM$88,4,FALSE)),"",VLOOKUP($J$39,$AI$63:$AM$88,4,FALSE))</f>
      </c>
      <c r="AJ39" s="140">
        <f>IF(ISNA(VLOOKUP($J$39,$AI$63:$AM$88,5,FALSE)),"",VLOOKUP($J$39,$AI$63:$AM$88,5,FALSE))</f>
      </c>
      <c r="AK39" s="97">
        <f t="shared" si="7"/>
      </c>
      <c r="AL39" s="81">
        <f t="shared" si="3"/>
      </c>
      <c r="AM39" s="81">
        <f t="shared" si="8"/>
      </c>
      <c r="AN39" s="294">
        <f t="shared" si="4"/>
      </c>
      <c r="AO39" s="160"/>
      <c r="AP39" s="193">
        <f>IF(0&lt;(AO39*AP10),AO39*AP10,0)</f>
        <v>0</v>
      </c>
      <c r="AQ39" s="142"/>
      <c r="AR39" s="200"/>
      <c r="AS39" s="193"/>
      <c r="AT39" s="193">
        <f>IF(0&lt;(AS39*AT10),AS39*AT10,0)</f>
        <v>0</v>
      </c>
      <c r="AU39" s="146">
        <v>38</v>
      </c>
      <c r="AV39" s="160">
        <v>0.23</v>
      </c>
      <c r="AW39" s="142">
        <v>20</v>
      </c>
      <c r="AX39" s="147">
        <v>3.5</v>
      </c>
      <c r="AY39" s="147">
        <v>1</v>
      </c>
      <c r="AZ39" s="147">
        <v>5</v>
      </c>
      <c r="BA39" s="146">
        <v>50</v>
      </c>
      <c r="BB39" s="146">
        <v>3</v>
      </c>
      <c r="BC39" s="146">
        <v>8</v>
      </c>
      <c r="BD39" s="146">
        <v>1</v>
      </c>
      <c r="BE39" s="142">
        <v>30</v>
      </c>
      <c r="BF39" s="142">
        <v>50000</v>
      </c>
      <c r="BG39" s="205"/>
      <c r="BH39" s="205">
        <f t="shared" si="9"/>
      </c>
      <c r="BI39" s="205">
        <f t="shared" si="10"/>
      </c>
      <c r="BJ39" s="205">
        <f t="shared" si="11"/>
      </c>
      <c r="BK39" s="205">
        <f t="shared" si="12"/>
      </c>
      <c r="BL39" s="205">
        <f t="shared" si="13"/>
      </c>
      <c r="BM39" s="210">
        <f t="shared" si="14"/>
      </c>
      <c r="BN39" s="210">
        <f t="shared" si="15"/>
      </c>
      <c r="BO39" s="349">
        <f t="shared" si="5"/>
      </c>
      <c r="BP39" s="345">
        <f t="shared" si="6"/>
      </c>
    </row>
    <row r="40" spans="1:68" s="80" customFormat="1" ht="16.5" customHeight="1">
      <c r="A40" s="114"/>
      <c r="B40" s="115"/>
      <c r="C40" s="115"/>
      <c r="D40" s="213"/>
      <c r="E40" s="115"/>
      <c r="F40" s="115"/>
      <c r="G40" s="115"/>
      <c r="H40" s="115"/>
      <c r="I40" s="115"/>
      <c r="J40" s="187"/>
      <c r="K40" s="125">
        <f>IF(ISNA(VLOOKUP($J$40,Hilfstabelle!$AC$1:$AF$26,4,FALSE)),"",VLOOKUP($J$40,Hilfstabelle!$AC$1:$AF$26,4,FALSE))</f>
      </c>
      <c r="L40" s="116"/>
      <c r="M40" s="116"/>
      <c r="N40" s="116"/>
      <c r="O40" s="116"/>
      <c r="P40" s="117"/>
      <c r="Q40" s="117"/>
      <c r="R40" s="118"/>
      <c r="S40" s="125"/>
      <c r="T40" s="125"/>
      <c r="U40" s="126">
        <f>IF(ISNA(VLOOKUP($R$40&amp;$T$40&amp;$S$40,Hilfstabelle!$D$2:$E$138,2,FALSE)),"",VLOOKUP($R$40&amp;$T$40&amp;$S$40,Hilfstabelle!$D$2:$E$138,2,FALSE))</f>
      </c>
      <c r="V40" s="78">
        <f>IF(ISNUMBER($U$40*$Q$40),($U$40*$Q$40),"")</f>
      </c>
      <c r="W40" s="353">
        <f>IF(ISNUMBER($P$40*$V$40),($P$40*$V$40),"")</f>
      </c>
      <c r="X40" s="357"/>
      <c r="Y40" s="116"/>
      <c r="Z40" s="117"/>
      <c r="AA40" s="117">
        <f t="shared" si="16"/>
      </c>
      <c r="AB40" s="135">
        <v>300</v>
      </c>
      <c r="AC40" s="136">
        <v>0.8</v>
      </c>
      <c r="AD40" s="135">
        <v>0.75</v>
      </c>
      <c r="AE40" s="291">
        <f t="shared" si="0"/>
      </c>
      <c r="AF40" s="292">
        <v>0</v>
      </c>
      <c r="AG40" s="102">
        <f t="shared" si="1"/>
      </c>
      <c r="AH40" s="293">
        <f t="shared" si="2"/>
      </c>
      <c r="AI40" s="140">
        <f>IF(ISNA(VLOOKUP($J$40,$AI$63:$AM$88,4,FALSE)),"",VLOOKUP($J$40,$AI$63:$AM$88,4,FALSE))</f>
      </c>
      <c r="AJ40" s="140">
        <f>IF(ISNA(VLOOKUP($J$40,$AI$63:$AM$88,5,FALSE)),"",VLOOKUP($J$40,$AI$63:$AM$88,5,FALSE))</f>
      </c>
      <c r="AK40" s="97">
        <f t="shared" si="7"/>
      </c>
      <c r="AL40" s="81">
        <f t="shared" si="3"/>
      </c>
      <c r="AM40" s="81">
        <f t="shared" si="8"/>
      </c>
      <c r="AN40" s="294">
        <f t="shared" si="4"/>
      </c>
      <c r="AO40" s="160"/>
      <c r="AP40" s="193">
        <f>IF(0&lt;(AO40*AP10),AO40*AP10,0)</f>
        <v>0</v>
      </c>
      <c r="AQ40" s="142"/>
      <c r="AR40" s="200"/>
      <c r="AS40" s="193"/>
      <c r="AT40" s="193">
        <f>IF(0&lt;(AS40*AT10),AS40*AT10,0)</f>
        <v>0</v>
      </c>
      <c r="AU40" s="146">
        <v>38</v>
      </c>
      <c r="AV40" s="160">
        <v>0.23</v>
      </c>
      <c r="AW40" s="142">
        <v>20</v>
      </c>
      <c r="AX40" s="147">
        <v>3.5</v>
      </c>
      <c r="AY40" s="147">
        <v>1</v>
      </c>
      <c r="AZ40" s="147">
        <v>5</v>
      </c>
      <c r="BA40" s="146">
        <v>50</v>
      </c>
      <c r="BB40" s="146">
        <v>3</v>
      </c>
      <c r="BC40" s="146">
        <v>8</v>
      </c>
      <c r="BD40" s="146">
        <v>1</v>
      </c>
      <c r="BE40" s="142">
        <v>30</v>
      </c>
      <c r="BF40" s="142">
        <v>50000</v>
      </c>
      <c r="BG40" s="205"/>
      <c r="BH40" s="205">
        <f t="shared" si="9"/>
      </c>
      <c r="BI40" s="205">
        <f t="shared" si="10"/>
      </c>
      <c r="BJ40" s="205">
        <f t="shared" si="11"/>
      </c>
      <c r="BK40" s="205">
        <f t="shared" si="12"/>
      </c>
      <c r="BL40" s="205">
        <f t="shared" si="13"/>
      </c>
      <c r="BM40" s="210">
        <f t="shared" si="14"/>
      </c>
      <c r="BN40" s="210">
        <f t="shared" si="15"/>
      </c>
      <c r="BO40" s="349">
        <f t="shared" si="5"/>
      </c>
      <c r="BP40" s="345">
        <f t="shared" si="6"/>
      </c>
    </row>
    <row r="41" spans="1:68" s="80" customFormat="1" ht="16.5" customHeight="1">
      <c r="A41" s="114"/>
      <c r="B41" s="115"/>
      <c r="C41" s="115"/>
      <c r="D41" s="213"/>
      <c r="E41" s="115"/>
      <c r="F41" s="115"/>
      <c r="G41" s="115"/>
      <c r="H41" s="115"/>
      <c r="I41" s="115"/>
      <c r="J41" s="187"/>
      <c r="K41" s="125">
        <f>IF(ISNA(VLOOKUP($J$41,Hilfstabelle!$AC$1:$AF$26,4,FALSE)),"",VLOOKUP($J$41,Hilfstabelle!$AC$1:$AF$26,4,FALSE))</f>
      </c>
      <c r="L41" s="116"/>
      <c r="M41" s="116"/>
      <c r="N41" s="116"/>
      <c r="O41" s="116"/>
      <c r="P41" s="117"/>
      <c r="Q41" s="117"/>
      <c r="R41" s="118"/>
      <c r="S41" s="125"/>
      <c r="T41" s="125"/>
      <c r="U41" s="126">
        <f>IF(ISNA(VLOOKUP($R$41&amp;$T$41&amp;$S$41,Hilfstabelle!$D$2:$E$138,2,FALSE)),"",VLOOKUP($R$41&amp;$T$41&amp;$S$41,Hilfstabelle!$D$2:$E$138,2,FALSE))</f>
      </c>
      <c r="V41" s="78">
        <f>IF(ISNUMBER($U$41*$Q$41),($U$41*$Q$41),"")</f>
      </c>
      <c r="W41" s="353">
        <f>IF(ISNUMBER($P$41*$V$41),($P$41*$V$41),"")</f>
      </c>
      <c r="X41" s="357"/>
      <c r="Y41" s="116"/>
      <c r="Z41" s="117"/>
      <c r="AA41" s="117">
        <f t="shared" si="16"/>
      </c>
      <c r="AB41" s="135">
        <v>300</v>
      </c>
      <c r="AC41" s="136">
        <v>0.8</v>
      </c>
      <c r="AD41" s="135">
        <v>0.75</v>
      </c>
      <c r="AE41" s="291">
        <f t="shared" si="0"/>
      </c>
      <c r="AF41" s="292">
        <v>0</v>
      </c>
      <c r="AG41" s="102">
        <f t="shared" si="1"/>
      </c>
      <c r="AH41" s="293">
        <f t="shared" si="2"/>
      </c>
      <c r="AI41" s="140">
        <f>IF(ISNA(VLOOKUP($J$41,$AI$63:$AM$88,4,FALSE)),"",VLOOKUP($J$41,$AI$63:$AM$88,4,FALSE))</f>
      </c>
      <c r="AJ41" s="140">
        <f>IF(ISNA(VLOOKUP($J$41,$AI$63:$AM$88,5,FALSE)),"",VLOOKUP($J$41,$AI$63:$AM$88,5,FALSE))</f>
      </c>
      <c r="AK41" s="97">
        <f t="shared" si="7"/>
      </c>
      <c r="AL41" s="81">
        <f t="shared" si="3"/>
      </c>
      <c r="AM41" s="81">
        <f t="shared" si="8"/>
      </c>
      <c r="AN41" s="294">
        <f t="shared" si="4"/>
      </c>
      <c r="AO41" s="160"/>
      <c r="AP41" s="193">
        <f>IF(0&lt;(AO41*AP10),AO41*AP10,0)</f>
        <v>0</v>
      </c>
      <c r="AQ41" s="142"/>
      <c r="AR41" s="200"/>
      <c r="AS41" s="193"/>
      <c r="AT41" s="193">
        <f>IF(0&lt;(AS41*AT10),AS41*AT10,0)</f>
        <v>0</v>
      </c>
      <c r="AU41" s="146">
        <v>38</v>
      </c>
      <c r="AV41" s="160">
        <v>0.23</v>
      </c>
      <c r="AW41" s="142">
        <v>20</v>
      </c>
      <c r="AX41" s="147">
        <v>3.5</v>
      </c>
      <c r="AY41" s="147">
        <v>1</v>
      </c>
      <c r="AZ41" s="147">
        <v>5</v>
      </c>
      <c r="BA41" s="146">
        <v>50</v>
      </c>
      <c r="BB41" s="146">
        <v>3</v>
      </c>
      <c r="BC41" s="146">
        <v>8</v>
      </c>
      <c r="BD41" s="146">
        <v>1</v>
      </c>
      <c r="BE41" s="142">
        <v>30</v>
      </c>
      <c r="BF41" s="142">
        <v>50000</v>
      </c>
      <c r="BG41" s="205"/>
      <c r="BH41" s="205">
        <f t="shared" si="9"/>
      </c>
      <c r="BI41" s="205">
        <f t="shared" si="10"/>
      </c>
      <c r="BJ41" s="205">
        <f t="shared" si="11"/>
      </c>
      <c r="BK41" s="205">
        <f t="shared" si="12"/>
      </c>
      <c r="BL41" s="205">
        <f t="shared" si="13"/>
      </c>
      <c r="BM41" s="210">
        <f t="shared" si="14"/>
      </c>
      <c r="BN41" s="210">
        <f t="shared" si="15"/>
      </c>
      <c r="BO41" s="349">
        <f t="shared" si="5"/>
      </c>
      <c r="BP41" s="345">
        <f t="shared" si="6"/>
      </c>
    </row>
    <row r="42" spans="1:68" s="80" customFormat="1" ht="16.5" customHeight="1">
      <c r="A42" s="114"/>
      <c r="B42" s="115"/>
      <c r="C42" s="115"/>
      <c r="D42" s="213"/>
      <c r="E42" s="115"/>
      <c r="F42" s="115"/>
      <c r="G42" s="115"/>
      <c r="H42" s="115"/>
      <c r="I42" s="115"/>
      <c r="J42" s="187"/>
      <c r="K42" s="125">
        <f>IF(ISNA(VLOOKUP($J$42,Hilfstabelle!$AC$1:$AF$26,4,FALSE)),"",VLOOKUP($J$42,Hilfstabelle!$AC$1:$AF$26,4,FALSE))</f>
      </c>
      <c r="L42" s="116"/>
      <c r="M42" s="116"/>
      <c r="N42" s="116"/>
      <c r="O42" s="116"/>
      <c r="P42" s="117"/>
      <c r="Q42" s="117"/>
      <c r="R42" s="118"/>
      <c r="S42" s="125"/>
      <c r="T42" s="125"/>
      <c r="U42" s="126">
        <f>IF(ISNA(VLOOKUP($R$42&amp;$T$42&amp;$S$42,Hilfstabelle!$D$2:$E$138,2,FALSE)),"",VLOOKUP($R$42&amp;$T$42&amp;$S$42,Hilfstabelle!$D$2:$E$138,2,FALSE))</f>
      </c>
      <c r="V42" s="78">
        <f>IF(ISNUMBER($U$42*$Q$42),($U$42*$Q$42),"")</f>
      </c>
      <c r="W42" s="353">
        <f>IF(ISNUMBER($P$42*$V$42),($P$42*$V$42),"")</f>
      </c>
      <c r="X42" s="357"/>
      <c r="Y42" s="116"/>
      <c r="Z42" s="117"/>
      <c r="AA42" s="117">
        <f t="shared" si="16"/>
      </c>
      <c r="AB42" s="135">
        <v>300</v>
      </c>
      <c r="AC42" s="136">
        <v>0.8</v>
      </c>
      <c r="AD42" s="135">
        <v>0.75</v>
      </c>
      <c r="AE42" s="291">
        <f t="shared" si="0"/>
      </c>
      <c r="AF42" s="292">
        <v>0</v>
      </c>
      <c r="AG42" s="102">
        <f t="shared" si="1"/>
      </c>
      <c r="AH42" s="293">
        <f t="shared" si="2"/>
      </c>
      <c r="AI42" s="140">
        <f>IF(ISNA(VLOOKUP($J$42,$AI$63:$AM$88,4,FALSE)),"",VLOOKUP($J$42,$AI$63:$AM$88,4,FALSE))</f>
      </c>
      <c r="AJ42" s="140">
        <f>IF(ISNA(VLOOKUP($J$42,$AI$63:$AM$88,5,FALSE)),"",VLOOKUP($J$42,$AI$63:$AM$88,5,FALSE))</f>
      </c>
      <c r="AK42" s="97">
        <f t="shared" si="7"/>
      </c>
      <c r="AL42" s="81">
        <f t="shared" si="3"/>
      </c>
      <c r="AM42" s="81">
        <f t="shared" si="8"/>
      </c>
      <c r="AN42" s="294">
        <f t="shared" si="4"/>
      </c>
      <c r="AO42" s="160"/>
      <c r="AP42" s="193">
        <f>IF(0&lt;(AO42*AP10),AO42*AP10,0)</f>
        <v>0</v>
      </c>
      <c r="AQ42" s="142"/>
      <c r="AR42" s="200"/>
      <c r="AS42" s="193"/>
      <c r="AT42" s="193">
        <f>IF(0&lt;(AS42*AT10),AS42*AT10,0)</f>
        <v>0</v>
      </c>
      <c r="AU42" s="146">
        <v>38</v>
      </c>
      <c r="AV42" s="160">
        <v>0.23</v>
      </c>
      <c r="AW42" s="142">
        <v>20</v>
      </c>
      <c r="AX42" s="147">
        <v>3.5</v>
      </c>
      <c r="AY42" s="147">
        <v>1</v>
      </c>
      <c r="AZ42" s="147">
        <v>5</v>
      </c>
      <c r="BA42" s="146">
        <v>50</v>
      </c>
      <c r="BB42" s="146">
        <v>3</v>
      </c>
      <c r="BC42" s="146">
        <v>8</v>
      </c>
      <c r="BD42" s="146">
        <v>1</v>
      </c>
      <c r="BE42" s="142">
        <v>30</v>
      </c>
      <c r="BF42" s="142">
        <v>50000</v>
      </c>
      <c r="BG42" s="205"/>
      <c r="BH42" s="205">
        <f t="shared" si="9"/>
      </c>
      <c r="BI42" s="205">
        <f t="shared" si="10"/>
      </c>
      <c r="BJ42" s="205">
        <f t="shared" si="11"/>
      </c>
      <c r="BK42" s="205">
        <f t="shared" si="12"/>
      </c>
      <c r="BL42" s="205">
        <f t="shared" si="13"/>
      </c>
      <c r="BM42" s="210">
        <f t="shared" si="14"/>
      </c>
      <c r="BN42" s="210">
        <f t="shared" si="15"/>
      </c>
      <c r="BO42" s="349">
        <f t="shared" si="5"/>
      </c>
      <c r="BP42" s="345">
        <f t="shared" si="6"/>
      </c>
    </row>
    <row r="43" spans="1:68" s="80" customFormat="1" ht="16.5" customHeight="1">
      <c r="A43" s="114"/>
      <c r="B43" s="115"/>
      <c r="C43" s="115"/>
      <c r="D43" s="213"/>
      <c r="E43" s="115"/>
      <c r="F43" s="115"/>
      <c r="G43" s="115"/>
      <c r="H43" s="115"/>
      <c r="I43" s="115"/>
      <c r="J43" s="187"/>
      <c r="K43" s="125">
        <f>IF(ISNA(VLOOKUP($J$43,Hilfstabelle!$AC$1:$AF$26,4,FALSE)),"",VLOOKUP($J$43,Hilfstabelle!$AC$1:$AF$26,4,FALSE))</f>
      </c>
      <c r="L43" s="116"/>
      <c r="M43" s="116"/>
      <c r="N43" s="116"/>
      <c r="O43" s="116"/>
      <c r="P43" s="117"/>
      <c r="Q43" s="117"/>
      <c r="R43" s="118"/>
      <c r="S43" s="125"/>
      <c r="T43" s="125"/>
      <c r="U43" s="126">
        <f>IF(ISNA(VLOOKUP($R$43&amp;$T$43&amp;$S$43,Hilfstabelle!$D$2:$E$138,2,FALSE)),"",VLOOKUP($R$43&amp;$T$43&amp;$S$43,Hilfstabelle!$D$2:$E$138,2,FALSE))</f>
      </c>
      <c r="V43" s="78">
        <f>IF(ISNUMBER($U$43*$Q$43),($U$43*$Q$43),"")</f>
      </c>
      <c r="W43" s="353">
        <f>IF(ISNUMBER($P$43*$V$43),($P$43*$V$43),"")</f>
      </c>
      <c r="X43" s="357"/>
      <c r="Y43" s="116"/>
      <c r="Z43" s="117"/>
      <c r="AA43" s="117">
        <f t="shared" si="16"/>
      </c>
      <c r="AB43" s="135">
        <v>300</v>
      </c>
      <c r="AC43" s="136">
        <v>0.8</v>
      </c>
      <c r="AD43" s="135">
        <v>0.75</v>
      </c>
      <c r="AE43" s="291">
        <f t="shared" si="0"/>
      </c>
      <c r="AF43" s="292">
        <v>0</v>
      </c>
      <c r="AG43" s="102">
        <f t="shared" si="1"/>
      </c>
      <c r="AH43" s="293">
        <f t="shared" si="2"/>
      </c>
      <c r="AI43" s="140">
        <f>IF(ISNA(VLOOKUP($J$43,$AI$63:$AM$88,4,FALSE)),"",VLOOKUP($J$43,$AI$63:$AM$88,4,FALSE))</f>
      </c>
      <c r="AJ43" s="140">
        <f>IF(ISNA(VLOOKUP($J$43,$AI$63:$AM$88,5,FALSE)),"",VLOOKUP($J$43,$AI$63:$AM$88,5,FALSE))</f>
      </c>
      <c r="AK43" s="97">
        <f t="shared" si="7"/>
      </c>
      <c r="AL43" s="81">
        <f t="shared" si="3"/>
      </c>
      <c r="AM43" s="81">
        <f t="shared" si="8"/>
      </c>
      <c r="AN43" s="294">
        <f t="shared" si="4"/>
      </c>
      <c r="AO43" s="160"/>
      <c r="AP43" s="193">
        <f>IF(0&lt;(AO43*AP10),AO43*AP10,0)</f>
        <v>0</v>
      </c>
      <c r="AQ43" s="142"/>
      <c r="AR43" s="200"/>
      <c r="AS43" s="193"/>
      <c r="AT43" s="193">
        <f>IF(0&lt;(AS43*AT10),AS43*AT10,0)</f>
        <v>0</v>
      </c>
      <c r="AU43" s="146">
        <v>38</v>
      </c>
      <c r="AV43" s="160">
        <v>0.23</v>
      </c>
      <c r="AW43" s="142">
        <v>20</v>
      </c>
      <c r="AX43" s="147">
        <v>3.5</v>
      </c>
      <c r="AY43" s="147">
        <v>1</v>
      </c>
      <c r="AZ43" s="147">
        <v>5</v>
      </c>
      <c r="BA43" s="146">
        <v>50</v>
      </c>
      <c r="BB43" s="146">
        <v>3</v>
      </c>
      <c r="BC43" s="146">
        <v>8</v>
      </c>
      <c r="BD43" s="146">
        <v>1</v>
      </c>
      <c r="BE43" s="142">
        <v>30</v>
      </c>
      <c r="BF43" s="142">
        <v>50000</v>
      </c>
      <c r="BG43" s="205"/>
      <c r="BH43" s="205">
        <f t="shared" si="9"/>
      </c>
      <c r="BI43" s="205">
        <f t="shared" si="10"/>
      </c>
      <c r="BJ43" s="205">
        <f t="shared" si="11"/>
      </c>
      <c r="BK43" s="205">
        <f t="shared" si="12"/>
      </c>
      <c r="BL43" s="205">
        <f t="shared" si="13"/>
      </c>
      <c r="BM43" s="210">
        <f t="shared" si="14"/>
      </c>
      <c r="BN43" s="210">
        <f t="shared" si="15"/>
      </c>
      <c r="BO43" s="349">
        <f t="shared" si="5"/>
      </c>
      <c r="BP43" s="345">
        <f t="shared" si="6"/>
      </c>
    </row>
    <row r="44" spans="1:68" s="80" customFormat="1" ht="16.5" customHeight="1" thickBot="1">
      <c r="A44" s="127"/>
      <c r="B44" s="128"/>
      <c r="C44" s="128"/>
      <c r="D44" s="214"/>
      <c r="E44" s="128"/>
      <c r="F44" s="128"/>
      <c r="G44" s="128"/>
      <c r="H44" s="128"/>
      <c r="I44" s="128"/>
      <c r="J44" s="188"/>
      <c r="K44" s="173">
        <f>IF(ISNA(VLOOKUP($J$44,Hilfstabelle!$AC$1:$AF$26,4,FALSE)),"",VLOOKUP($J$44,Hilfstabelle!$AC$1:$AF$26,4,FALSE))</f>
      </c>
      <c r="L44" s="129"/>
      <c r="M44" s="129"/>
      <c r="N44" s="129"/>
      <c r="O44" s="129"/>
      <c r="P44" s="130"/>
      <c r="Q44" s="130"/>
      <c r="R44" s="131"/>
      <c r="S44" s="173"/>
      <c r="T44" s="173"/>
      <c r="U44" s="174">
        <f>IF(ISNA(VLOOKUP($R$44&amp;$T$44&amp;$S$44,Hilfstabelle!$D$2:$E$138,2,FALSE)),"",VLOOKUP($R$44&amp;$T$44&amp;$S$44,Hilfstabelle!$D$2:$E$138,2,FALSE))</f>
      </c>
      <c r="V44" s="175">
        <f>IF(ISNUMBER($U$44*$Q$44),($U$44*$Q$44),"")</f>
      </c>
      <c r="W44" s="354">
        <f>IF(ISNUMBER($P$44*$V$44),($P$44*$V$44),"")</f>
      </c>
      <c r="X44" s="359"/>
      <c r="Y44" s="129"/>
      <c r="Z44" s="130"/>
      <c r="AA44" s="130">
        <f t="shared" si="16"/>
      </c>
      <c r="AB44" s="176">
        <v>300</v>
      </c>
      <c r="AC44" s="177">
        <v>0.8</v>
      </c>
      <c r="AD44" s="176">
        <v>0.75</v>
      </c>
      <c r="AE44" s="297">
        <f t="shared" si="0"/>
      </c>
      <c r="AF44" s="298">
        <v>0</v>
      </c>
      <c r="AG44" s="178">
        <f t="shared" si="1"/>
      </c>
      <c r="AH44" s="299">
        <f t="shared" si="2"/>
      </c>
      <c r="AI44" s="179">
        <f>IF(ISNA(VLOOKUP($J$44,$AI$63:$AM$88,4,FALSE)),"",VLOOKUP($J$44,$AI$63:$AM$88,4,FALSE))</f>
      </c>
      <c r="AJ44" s="179">
        <f>IF(ISNA(VLOOKUP($J$44,$AI$63:$AM$88,5,FALSE)),"",VLOOKUP($J$44,$AI$63:$AM$88,5,FALSE))</f>
      </c>
      <c r="AK44" s="180">
        <f t="shared" si="7"/>
      </c>
      <c r="AL44" s="181">
        <f t="shared" si="3"/>
      </c>
      <c r="AM44" s="181">
        <f t="shared" si="8"/>
      </c>
      <c r="AN44" s="300">
        <f t="shared" si="4"/>
      </c>
      <c r="AO44" s="184"/>
      <c r="AP44" s="194">
        <f>IF(0&lt;(AO44*AP10),AO44*AP10,0)</f>
        <v>0</v>
      </c>
      <c r="AQ44" s="182"/>
      <c r="AR44" s="201"/>
      <c r="AS44" s="194"/>
      <c r="AT44" s="194">
        <f>IF(0&lt;(AS44*AT10),AS44*AT10,0)</f>
        <v>0</v>
      </c>
      <c r="AU44" s="183">
        <v>38</v>
      </c>
      <c r="AV44" s="184">
        <v>0.23</v>
      </c>
      <c r="AW44" s="182">
        <v>20</v>
      </c>
      <c r="AX44" s="185">
        <v>3.5</v>
      </c>
      <c r="AY44" s="185">
        <v>1</v>
      </c>
      <c r="AZ44" s="185">
        <v>5</v>
      </c>
      <c r="BA44" s="183">
        <v>50</v>
      </c>
      <c r="BB44" s="183">
        <v>3</v>
      </c>
      <c r="BC44" s="183">
        <v>8</v>
      </c>
      <c r="BD44" s="183">
        <v>1</v>
      </c>
      <c r="BE44" s="182">
        <v>30</v>
      </c>
      <c r="BF44" s="182">
        <v>50000</v>
      </c>
      <c r="BG44" s="206"/>
      <c r="BH44" s="206">
        <f t="shared" si="9"/>
      </c>
      <c r="BI44" s="206">
        <f t="shared" si="10"/>
      </c>
      <c r="BJ44" s="206">
        <f t="shared" si="11"/>
      </c>
      <c r="BK44" s="206">
        <f t="shared" si="12"/>
      </c>
      <c r="BL44" s="206">
        <f t="shared" si="13"/>
      </c>
      <c r="BM44" s="301">
        <f t="shared" si="14"/>
      </c>
      <c r="BN44" s="301">
        <f t="shared" si="15"/>
      </c>
      <c r="BO44" s="350">
        <f t="shared" si="5"/>
      </c>
      <c r="BP44" s="346">
        <f t="shared" si="6"/>
      </c>
    </row>
    <row r="45" spans="1:68" s="80" customFormat="1" ht="16.5" customHeight="1">
      <c r="A45" s="162"/>
      <c r="B45" s="163"/>
      <c r="C45" s="163"/>
      <c r="D45" s="215"/>
      <c r="E45" s="163"/>
      <c r="F45" s="163"/>
      <c r="G45" s="163"/>
      <c r="H45" s="163"/>
      <c r="I45" s="163"/>
      <c r="J45" s="189"/>
      <c r="K45" s="166">
        <f>IF(ISNA(VLOOKUP($J$45,Hilfstabelle!$AC$1:$AF$26,4,FALSE)),"",VLOOKUP($J$45,Hilfstabelle!$AC$1:$AF$26,4,FALSE))</f>
      </c>
      <c r="L45" s="164"/>
      <c r="M45" s="164"/>
      <c r="N45" s="164"/>
      <c r="O45" s="164"/>
      <c r="P45" s="132"/>
      <c r="Q45" s="132"/>
      <c r="R45" s="165"/>
      <c r="S45" s="166"/>
      <c r="T45" s="166"/>
      <c r="U45" s="167">
        <f>IF(ISNA(VLOOKUP($R$45&amp;$T$45&amp;$S$45,Hilfstabelle!$D$2:$E$138,2,FALSE)),"",VLOOKUP($R$45&amp;$T$45&amp;$S$45,Hilfstabelle!$D$2:$E$138,2,FALSE))</f>
      </c>
      <c r="V45" s="168">
        <f>IF(ISNUMBER($U$45*$Q$45),($U$45*$Q$45),"")</f>
      </c>
      <c r="W45" s="352">
        <f>IF(ISNUMBER($P$45*$V$45),($P$45*$V$45),"")</f>
      </c>
      <c r="X45" s="360"/>
      <c r="Y45" s="164"/>
      <c r="Z45" s="132"/>
      <c r="AA45" s="132">
        <f t="shared" si="16"/>
      </c>
      <c r="AB45" s="133">
        <v>300</v>
      </c>
      <c r="AC45" s="134">
        <v>0.8</v>
      </c>
      <c r="AD45" s="133">
        <v>0.75</v>
      </c>
      <c r="AE45" s="302">
        <f t="shared" si="0"/>
      </c>
      <c r="AF45" s="303">
        <v>0</v>
      </c>
      <c r="AG45" s="169">
        <f t="shared" si="1"/>
      </c>
      <c r="AH45" s="304">
        <f t="shared" si="2"/>
      </c>
      <c r="AI45" s="139">
        <f>IF(ISNA(VLOOKUP($J$45,$AI$63:$AM$88,4,FALSE)),"",VLOOKUP($J$45,$AI$63:$AM$88,4,FALSE))</f>
      </c>
      <c r="AJ45" s="139">
        <f>IF(ISNA(VLOOKUP($J$45,$AI$63:$AM$88,5,FALSE)),"",VLOOKUP($J$45,$AI$63:$AM$88,5,FALSE))</f>
      </c>
      <c r="AK45" s="96">
        <f t="shared" si="7"/>
      </c>
      <c r="AL45" s="79">
        <f t="shared" si="3"/>
      </c>
      <c r="AM45" s="79">
        <f t="shared" si="8"/>
      </c>
      <c r="AN45" s="305">
        <f t="shared" si="4"/>
      </c>
      <c r="AO45" s="159"/>
      <c r="AP45" s="195">
        <f>IF(0&lt;(AO45*AP10),AO45*AP10,0)</f>
        <v>0</v>
      </c>
      <c r="AQ45" s="143"/>
      <c r="AR45" s="202"/>
      <c r="AS45" s="195"/>
      <c r="AT45" s="195">
        <f>IF(0&lt;(AS45*AT10),AS45*AT10,0)</f>
        <v>0</v>
      </c>
      <c r="AU45" s="144">
        <v>38</v>
      </c>
      <c r="AV45" s="159">
        <v>0.23</v>
      </c>
      <c r="AW45" s="143">
        <v>20</v>
      </c>
      <c r="AX45" s="145">
        <v>3.5</v>
      </c>
      <c r="AY45" s="145">
        <v>1</v>
      </c>
      <c r="AZ45" s="145">
        <v>5</v>
      </c>
      <c r="BA45" s="144">
        <v>50</v>
      </c>
      <c r="BB45" s="144">
        <v>3</v>
      </c>
      <c r="BC45" s="144">
        <v>8</v>
      </c>
      <c r="BD45" s="144">
        <v>1</v>
      </c>
      <c r="BE45" s="143">
        <v>30</v>
      </c>
      <c r="BF45" s="143">
        <v>50000</v>
      </c>
      <c r="BG45" s="207"/>
      <c r="BH45" s="207">
        <f t="shared" si="9"/>
      </c>
      <c r="BI45" s="207">
        <f t="shared" si="10"/>
      </c>
      <c r="BJ45" s="207">
        <f t="shared" si="11"/>
      </c>
      <c r="BK45" s="207">
        <f t="shared" si="12"/>
      </c>
      <c r="BL45" s="207">
        <f t="shared" si="13"/>
      </c>
      <c r="BM45" s="240">
        <f t="shared" si="14"/>
      </c>
      <c r="BN45" s="240">
        <f t="shared" si="15"/>
      </c>
      <c r="BO45" s="348">
        <f t="shared" si="5"/>
      </c>
      <c r="BP45" s="344">
        <f t="shared" si="6"/>
      </c>
    </row>
    <row r="46" spans="1:68" s="80" customFormat="1" ht="16.5" customHeight="1">
      <c r="A46" s="114"/>
      <c r="B46" s="115"/>
      <c r="C46" s="115"/>
      <c r="D46" s="213"/>
      <c r="E46" s="115"/>
      <c r="F46" s="115"/>
      <c r="G46" s="115"/>
      <c r="H46" s="115"/>
      <c r="I46" s="115"/>
      <c r="J46" s="187"/>
      <c r="K46" s="125">
        <f>IF(ISNA(VLOOKUP($J$46,Hilfstabelle!$AC$1:$AF$26,4,FALSE)),"",VLOOKUP($J$46,Hilfstabelle!$AC$1:$AF$26,4,FALSE))</f>
      </c>
      <c r="L46" s="116"/>
      <c r="M46" s="116"/>
      <c r="N46" s="116"/>
      <c r="O46" s="116"/>
      <c r="P46" s="117"/>
      <c r="Q46" s="117"/>
      <c r="R46" s="118"/>
      <c r="S46" s="125"/>
      <c r="T46" s="125"/>
      <c r="U46" s="126">
        <f>IF(ISNA(VLOOKUP($R$46&amp;$T$46&amp;$S$46,Hilfstabelle!$D$2:$E$138,2,FALSE)),"",VLOOKUP($R$46&amp;$T$46&amp;$S$46,Hilfstabelle!$D$2:$E$138,2,FALSE))</f>
      </c>
      <c r="V46" s="78">
        <f>IF(ISNUMBER($U$46*$Q$46),($U$46*$Q$46),"")</f>
      </c>
      <c r="W46" s="353">
        <f>IF(ISNUMBER($P$46*$V$46),($P$46*$V$46),"")</f>
      </c>
      <c r="X46" s="361"/>
      <c r="Y46" s="116"/>
      <c r="Z46" s="117"/>
      <c r="AA46" s="117">
        <f t="shared" si="16"/>
      </c>
      <c r="AB46" s="135">
        <v>300</v>
      </c>
      <c r="AC46" s="136">
        <v>0.8</v>
      </c>
      <c r="AD46" s="135">
        <v>0.75</v>
      </c>
      <c r="AE46" s="291">
        <f t="shared" si="0"/>
      </c>
      <c r="AF46" s="292">
        <v>0</v>
      </c>
      <c r="AG46" s="102">
        <f t="shared" si="1"/>
      </c>
      <c r="AH46" s="293">
        <f t="shared" si="2"/>
      </c>
      <c r="AI46" s="140">
        <f>IF(ISNA(VLOOKUP($J$46,$AI$63:$AM$88,4,FALSE)),"",VLOOKUP($J$46,$AI$63:$AM$88,4,FALSE))</f>
      </c>
      <c r="AJ46" s="140">
        <f>IF(ISNA(VLOOKUP($J$46,$AI$63:$AM$88,5,FALSE)),"",VLOOKUP($J$46,$AI$63:$AM$88,5,FALSE))</f>
      </c>
      <c r="AK46" s="97">
        <f t="shared" si="7"/>
      </c>
      <c r="AL46" s="81">
        <f t="shared" si="3"/>
      </c>
      <c r="AM46" s="81">
        <f t="shared" si="8"/>
      </c>
      <c r="AN46" s="294">
        <f t="shared" si="4"/>
      </c>
      <c r="AO46" s="160"/>
      <c r="AP46" s="193">
        <f>IF(0&lt;(AO46*AP10),AO46*AP10,0)</f>
        <v>0</v>
      </c>
      <c r="AQ46" s="142"/>
      <c r="AR46" s="200"/>
      <c r="AS46" s="193"/>
      <c r="AT46" s="193">
        <f>IF(0&lt;(AS46*AT10),AS46*AT10,0)</f>
        <v>0</v>
      </c>
      <c r="AU46" s="146">
        <v>38</v>
      </c>
      <c r="AV46" s="160">
        <v>0.23</v>
      </c>
      <c r="AW46" s="142">
        <v>20</v>
      </c>
      <c r="AX46" s="147">
        <v>3.5</v>
      </c>
      <c r="AY46" s="147">
        <v>1</v>
      </c>
      <c r="AZ46" s="147">
        <v>5</v>
      </c>
      <c r="BA46" s="146">
        <v>50</v>
      </c>
      <c r="BB46" s="146">
        <v>3</v>
      </c>
      <c r="BC46" s="146">
        <v>8</v>
      </c>
      <c r="BD46" s="146">
        <v>1</v>
      </c>
      <c r="BE46" s="142">
        <v>30</v>
      </c>
      <c r="BF46" s="142">
        <v>50000</v>
      </c>
      <c r="BG46" s="205"/>
      <c r="BH46" s="205">
        <f t="shared" si="9"/>
      </c>
      <c r="BI46" s="205">
        <f t="shared" si="10"/>
      </c>
      <c r="BJ46" s="205">
        <f t="shared" si="11"/>
      </c>
      <c r="BK46" s="205">
        <f t="shared" si="12"/>
      </c>
      <c r="BL46" s="205">
        <f t="shared" si="13"/>
      </c>
      <c r="BM46" s="210">
        <f t="shared" si="14"/>
      </c>
      <c r="BN46" s="210">
        <f t="shared" si="15"/>
      </c>
      <c r="BO46" s="349">
        <f t="shared" si="5"/>
      </c>
      <c r="BP46" s="345">
        <f t="shared" si="6"/>
      </c>
    </row>
    <row r="47" spans="1:68" s="80" customFormat="1" ht="16.5" customHeight="1">
      <c r="A47" s="114"/>
      <c r="B47" s="115"/>
      <c r="C47" s="115"/>
      <c r="D47" s="213"/>
      <c r="E47" s="115"/>
      <c r="F47" s="115"/>
      <c r="G47" s="115"/>
      <c r="H47" s="115"/>
      <c r="I47" s="115"/>
      <c r="J47" s="187"/>
      <c r="K47" s="125">
        <f>IF(ISNA(VLOOKUP($J$47,Hilfstabelle!$AC$1:$AF$26,4,FALSE)),"",VLOOKUP($J$47,Hilfstabelle!$AC$1:$AF$26,4,FALSE))</f>
      </c>
      <c r="L47" s="116"/>
      <c r="M47" s="116"/>
      <c r="N47" s="116"/>
      <c r="O47" s="116"/>
      <c r="P47" s="117"/>
      <c r="Q47" s="117"/>
      <c r="R47" s="118"/>
      <c r="S47" s="125"/>
      <c r="T47" s="125"/>
      <c r="U47" s="126">
        <f>IF(ISNA(VLOOKUP($R$47&amp;$T$47&amp;$S$47,Hilfstabelle!$D$2:$E$138,2,FALSE)),"",VLOOKUP($R$47&amp;$T$47&amp;$S$47,Hilfstabelle!$D$2:$E$138,2,FALSE))</f>
      </c>
      <c r="V47" s="78">
        <f>IF(ISNUMBER($U$47*$Q$47),($U$47*$Q$47),"")</f>
      </c>
      <c r="W47" s="353">
        <f>IF(ISNUMBER($P$47*$V$47),($P$47*$V$47),"")</f>
      </c>
      <c r="X47" s="361"/>
      <c r="Y47" s="116"/>
      <c r="Z47" s="117"/>
      <c r="AA47" s="117">
        <f t="shared" si="16"/>
      </c>
      <c r="AB47" s="135">
        <v>300</v>
      </c>
      <c r="AC47" s="136">
        <v>0.8</v>
      </c>
      <c r="AD47" s="135">
        <v>0.75</v>
      </c>
      <c r="AE47" s="291">
        <f t="shared" si="0"/>
      </c>
      <c r="AF47" s="292">
        <v>0</v>
      </c>
      <c r="AG47" s="102">
        <f t="shared" si="1"/>
      </c>
      <c r="AH47" s="293">
        <f t="shared" si="2"/>
      </c>
      <c r="AI47" s="140">
        <f>IF(ISNA(VLOOKUP($J$47,$AI$63:$AM$88,4,FALSE)),"",VLOOKUP($J$47,$AI$63:$AM$88,4,FALSE))</f>
      </c>
      <c r="AJ47" s="140">
        <f>IF(ISNA(VLOOKUP($J$47,$AI$63:$AM$88,5,FALSE)),"",VLOOKUP($J$47,$AI$63:$AM$88,5,FALSE))</f>
      </c>
      <c r="AK47" s="97">
        <f t="shared" si="7"/>
      </c>
      <c r="AL47" s="81">
        <f t="shared" si="3"/>
      </c>
      <c r="AM47" s="81">
        <f t="shared" si="8"/>
      </c>
      <c r="AN47" s="294">
        <f t="shared" si="4"/>
      </c>
      <c r="AO47" s="160"/>
      <c r="AP47" s="193">
        <f>IF(0&lt;(AO47*AP10),AO47*AP10,0)</f>
        <v>0</v>
      </c>
      <c r="AQ47" s="142"/>
      <c r="AR47" s="200"/>
      <c r="AS47" s="193"/>
      <c r="AT47" s="193">
        <f>IF(0&lt;(AS47*AT10),AS47*AT10,0)</f>
        <v>0</v>
      </c>
      <c r="AU47" s="146">
        <v>38</v>
      </c>
      <c r="AV47" s="160">
        <v>0.23</v>
      </c>
      <c r="AW47" s="142">
        <v>20</v>
      </c>
      <c r="AX47" s="147">
        <v>3.5</v>
      </c>
      <c r="AY47" s="147">
        <v>1</v>
      </c>
      <c r="AZ47" s="147">
        <v>5</v>
      </c>
      <c r="BA47" s="146">
        <v>50</v>
      </c>
      <c r="BB47" s="146">
        <v>3</v>
      </c>
      <c r="BC47" s="146">
        <v>8</v>
      </c>
      <c r="BD47" s="146">
        <v>1</v>
      </c>
      <c r="BE47" s="142">
        <v>30</v>
      </c>
      <c r="BF47" s="142">
        <v>50000</v>
      </c>
      <c r="BG47" s="205"/>
      <c r="BH47" s="205">
        <f t="shared" si="9"/>
      </c>
      <c r="BI47" s="205">
        <f t="shared" si="10"/>
      </c>
      <c r="BJ47" s="205">
        <f t="shared" si="11"/>
      </c>
      <c r="BK47" s="205">
        <f t="shared" si="12"/>
      </c>
      <c r="BL47" s="205">
        <f t="shared" si="13"/>
      </c>
      <c r="BM47" s="210">
        <f t="shared" si="14"/>
      </c>
      <c r="BN47" s="210">
        <f t="shared" si="15"/>
      </c>
      <c r="BO47" s="349">
        <f t="shared" si="5"/>
      </c>
      <c r="BP47" s="345">
        <f t="shared" si="6"/>
      </c>
    </row>
    <row r="48" spans="1:68" s="80" customFormat="1" ht="16.5" customHeight="1">
      <c r="A48" s="151"/>
      <c r="B48" s="115"/>
      <c r="C48" s="115"/>
      <c r="D48" s="213"/>
      <c r="E48" s="115"/>
      <c r="F48" s="115"/>
      <c r="G48" s="115"/>
      <c r="H48" s="115"/>
      <c r="I48" s="115"/>
      <c r="J48" s="187"/>
      <c r="K48" s="125">
        <f>IF(ISNA(VLOOKUP($J$48,Hilfstabelle!$AC$1:$AF$26,4,FALSE)),"",VLOOKUP($J$48,Hilfstabelle!$AC$1:$AF$26,4,FALSE))</f>
      </c>
      <c r="L48" s="116"/>
      <c r="M48" s="116"/>
      <c r="N48" s="116"/>
      <c r="O48" s="116"/>
      <c r="P48" s="117"/>
      <c r="Q48" s="117"/>
      <c r="R48" s="118"/>
      <c r="S48" s="125"/>
      <c r="T48" s="125"/>
      <c r="U48" s="126">
        <f>IF(ISNA(VLOOKUP($R$48&amp;$T$48&amp;$S$48,Hilfstabelle!$D$2:$E$138,2,FALSE)),"",VLOOKUP($R$48&amp;$T$48&amp;$S$48,Hilfstabelle!$D$2:$E$138,2,FALSE))</f>
      </c>
      <c r="V48" s="78">
        <f>IF(ISNUMBER($U$48*$Q$48),($U$48*$Q$48),"")</f>
      </c>
      <c r="W48" s="353">
        <f>IF(ISNUMBER($P$48*$V$48),($P$48*$V$48),"")</f>
      </c>
      <c r="X48" s="357"/>
      <c r="Y48" s="116"/>
      <c r="Z48" s="199"/>
      <c r="AA48" s="117">
        <f t="shared" si="16"/>
      </c>
      <c r="AB48" s="135">
        <v>300</v>
      </c>
      <c r="AC48" s="136">
        <v>0.8</v>
      </c>
      <c r="AD48" s="135">
        <v>0.75</v>
      </c>
      <c r="AE48" s="291">
        <f t="shared" si="0"/>
      </c>
      <c r="AF48" s="292">
        <v>0</v>
      </c>
      <c r="AG48" s="102">
        <f t="shared" si="1"/>
      </c>
      <c r="AH48" s="293">
        <f t="shared" si="2"/>
      </c>
      <c r="AI48" s="140">
        <f>IF(ISNA(VLOOKUP($J$48,$AI$63:$AM$88,4,FALSE)),"",VLOOKUP($J$48,$AI$63:$AM$88,4,FALSE))</f>
      </c>
      <c r="AJ48" s="140">
        <f>IF(ISNA(VLOOKUP($J$48,$AI$63:$AM$88,5,FALSE)),"",VLOOKUP($J$48,$AI$63:$AM$88,5,FALSE))</f>
      </c>
      <c r="AK48" s="97">
        <f t="shared" si="7"/>
      </c>
      <c r="AL48" s="81">
        <f t="shared" si="3"/>
      </c>
      <c r="AM48" s="81">
        <f t="shared" si="8"/>
      </c>
      <c r="AN48" s="294">
        <f t="shared" si="4"/>
      </c>
      <c r="AO48" s="160"/>
      <c r="AP48" s="193">
        <f>IF(0&lt;(AO48*AP10),AO48*AP10,0)</f>
        <v>0</v>
      </c>
      <c r="AQ48" s="204"/>
      <c r="AR48" s="200"/>
      <c r="AS48" s="193"/>
      <c r="AT48" s="193">
        <f>IF(0&lt;(AS48*AT10),AS48*AT10,0)</f>
        <v>0</v>
      </c>
      <c r="AU48" s="146">
        <v>38</v>
      </c>
      <c r="AV48" s="160">
        <v>0.23</v>
      </c>
      <c r="AW48" s="142">
        <v>20</v>
      </c>
      <c r="AX48" s="147">
        <v>3.5</v>
      </c>
      <c r="AY48" s="147">
        <v>1</v>
      </c>
      <c r="AZ48" s="147">
        <v>5</v>
      </c>
      <c r="BA48" s="146">
        <v>50</v>
      </c>
      <c r="BB48" s="146">
        <v>3</v>
      </c>
      <c r="BC48" s="146">
        <v>8</v>
      </c>
      <c r="BD48" s="146">
        <v>1</v>
      </c>
      <c r="BE48" s="142">
        <v>30</v>
      </c>
      <c r="BF48" s="142">
        <v>50000</v>
      </c>
      <c r="BG48" s="205"/>
      <c r="BH48" s="205">
        <f t="shared" si="9"/>
      </c>
      <c r="BI48" s="205">
        <f t="shared" si="10"/>
      </c>
      <c r="BJ48" s="205">
        <f t="shared" si="11"/>
      </c>
      <c r="BK48" s="205">
        <f t="shared" si="12"/>
      </c>
      <c r="BL48" s="205">
        <f t="shared" si="13"/>
      </c>
      <c r="BM48" s="210">
        <f t="shared" si="14"/>
      </c>
      <c r="BN48" s="210">
        <f t="shared" si="15"/>
      </c>
      <c r="BO48" s="349">
        <f t="shared" si="5"/>
      </c>
      <c r="BP48" s="345">
        <f t="shared" si="6"/>
      </c>
    </row>
    <row r="49" spans="1:68" s="80" customFormat="1" ht="16.5" customHeight="1">
      <c r="A49" s="114"/>
      <c r="B49" s="115"/>
      <c r="C49" s="115"/>
      <c r="D49" s="213"/>
      <c r="E49" s="115"/>
      <c r="F49" s="115"/>
      <c r="G49" s="115"/>
      <c r="H49" s="115"/>
      <c r="I49" s="115"/>
      <c r="J49" s="187"/>
      <c r="K49" s="125">
        <f>IF(ISNA(VLOOKUP($J$49,Hilfstabelle!$AC$1:$AF$26,4,FALSE)),"",VLOOKUP($J$49,Hilfstabelle!$AC$1:$AF$26,4,FALSE))</f>
      </c>
      <c r="L49" s="116"/>
      <c r="M49" s="116"/>
      <c r="N49" s="116"/>
      <c r="O49" s="116"/>
      <c r="P49" s="117"/>
      <c r="Q49" s="117"/>
      <c r="R49" s="118"/>
      <c r="S49" s="125"/>
      <c r="T49" s="125"/>
      <c r="U49" s="126">
        <f>IF(ISNA(VLOOKUP($R$49&amp;$T$49&amp;$S$49,Hilfstabelle!$D$2:$E$138,2,FALSE)),"",VLOOKUP($R$49&amp;$T$49&amp;$S$49,Hilfstabelle!$D$2:$E$138,2,FALSE))</f>
      </c>
      <c r="V49" s="78">
        <f>IF(ISNUMBER($U$49*$Q$49),($U$49*$Q$49),"")</f>
      </c>
      <c r="W49" s="353">
        <f>IF(ISNUMBER($P$49*$V$49),($P$49*$V$49),"")</f>
      </c>
      <c r="X49" s="361"/>
      <c r="Y49" s="116"/>
      <c r="Z49" s="117"/>
      <c r="AA49" s="117">
        <f t="shared" si="16"/>
      </c>
      <c r="AB49" s="135">
        <v>300</v>
      </c>
      <c r="AC49" s="136">
        <v>0.8</v>
      </c>
      <c r="AD49" s="135">
        <v>0.75</v>
      </c>
      <c r="AE49" s="291">
        <f t="shared" si="0"/>
      </c>
      <c r="AF49" s="292">
        <v>0</v>
      </c>
      <c r="AG49" s="102">
        <f t="shared" si="1"/>
      </c>
      <c r="AH49" s="293">
        <f t="shared" si="2"/>
      </c>
      <c r="AI49" s="140">
        <f>IF(ISNA(VLOOKUP($J$49,$AI$63:$AM$88,4,FALSE)),"",VLOOKUP($J$49,$AI$63:$AM$88,4,FALSE))</f>
      </c>
      <c r="AJ49" s="140">
        <f>IF(ISNA(VLOOKUP($J$49,$AI$63:$AM$88,5,FALSE)),"",VLOOKUP($J$49,$AI$63:$AM$88,5,FALSE))</f>
      </c>
      <c r="AK49" s="97">
        <f t="shared" si="7"/>
      </c>
      <c r="AL49" s="81">
        <f t="shared" si="3"/>
      </c>
      <c r="AM49" s="81">
        <f t="shared" si="8"/>
      </c>
      <c r="AN49" s="294">
        <f t="shared" si="4"/>
      </c>
      <c r="AO49" s="160"/>
      <c r="AP49" s="193">
        <f>IF(0&lt;(AO49*AP10),AO49*AP10,0)</f>
        <v>0</v>
      </c>
      <c r="AQ49" s="142"/>
      <c r="AR49" s="200"/>
      <c r="AS49" s="193"/>
      <c r="AT49" s="193">
        <f>IF(0&lt;(AS49*AT10),AS49*AT10,0)</f>
        <v>0</v>
      </c>
      <c r="AU49" s="146">
        <v>38</v>
      </c>
      <c r="AV49" s="160">
        <v>0.23</v>
      </c>
      <c r="AW49" s="142">
        <v>20</v>
      </c>
      <c r="AX49" s="147">
        <v>3.5</v>
      </c>
      <c r="AY49" s="147">
        <v>1</v>
      </c>
      <c r="AZ49" s="147">
        <v>5</v>
      </c>
      <c r="BA49" s="146">
        <v>50</v>
      </c>
      <c r="BB49" s="146">
        <v>3</v>
      </c>
      <c r="BC49" s="146">
        <v>8</v>
      </c>
      <c r="BD49" s="146">
        <v>1</v>
      </c>
      <c r="BE49" s="142">
        <v>30</v>
      </c>
      <c r="BF49" s="142">
        <v>50000</v>
      </c>
      <c r="BG49" s="205"/>
      <c r="BH49" s="205">
        <f t="shared" si="9"/>
      </c>
      <c r="BI49" s="205">
        <f t="shared" si="10"/>
      </c>
      <c r="BJ49" s="205">
        <f t="shared" si="11"/>
      </c>
      <c r="BK49" s="205">
        <f t="shared" si="12"/>
      </c>
      <c r="BL49" s="205">
        <f t="shared" si="13"/>
      </c>
      <c r="BM49" s="210">
        <f t="shared" si="14"/>
      </c>
      <c r="BN49" s="210">
        <f t="shared" si="15"/>
      </c>
      <c r="BO49" s="349">
        <f t="shared" si="5"/>
      </c>
      <c r="BP49" s="345">
        <f t="shared" si="6"/>
      </c>
    </row>
    <row r="50" spans="1:68" s="80" customFormat="1" ht="16.5" customHeight="1">
      <c r="A50" s="114"/>
      <c r="B50" s="115"/>
      <c r="C50" s="115"/>
      <c r="D50" s="213"/>
      <c r="E50" s="115"/>
      <c r="F50" s="115"/>
      <c r="G50" s="115"/>
      <c r="H50" s="115"/>
      <c r="I50" s="115"/>
      <c r="J50" s="187"/>
      <c r="K50" s="125">
        <f>IF(ISNA(VLOOKUP($J$50,Hilfstabelle!$AC$1:$AF$26,4,FALSE)),"",VLOOKUP($J$50,Hilfstabelle!$AC$1:$AF$26,4,FALSE))</f>
      </c>
      <c r="L50" s="116"/>
      <c r="M50" s="116"/>
      <c r="N50" s="116"/>
      <c r="O50" s="116"/>
      <c r="P50" s="117"/>
      <c r="Q50" s="117"/>
      <c r="R50" s="118"/>
      <c r="S50" s="125"/>
      <c r="T50" s="125"/>
      <c r="U50" s="126">
        <f>IF(ISNA(VLOOKUP($R$50&amp;$T$50&amp;$S$50,Hilfstabelle!$D$2:$E$138,2,FALSE)),"",VLOOKUP($R$50&amp;$T$50&amp;$S$50,Hilfstabelle!$D$2:$E$138,2,FALSE))</f>
      </c>
      <c r="V50" s="78">
        <f>IF(ISNUMBER($U$50*$Q$50),($U$50*$Q$50),"")</f>
      </c>
      <c r="W50" s="353">
        <f>IF(ISNUMBER($P$50*$V$50),($P$50*$V$50),"")</f>
      </c>
      <c r="X50" s="361"/>
      <c r="Y50" s="116"/>
      <c r="Z50" s="117"/>
      <c r="AA50" s="117">
        <f t="shared" si="16"/>
      </c>
      <c r="AB50" s="135">
        <v>300</v>
      </c>
      <c r="AC50" s="136">
        <v>0.8</v>
      </c>
      <c r="AD50" s="135">
        <v>0.75</v>
      </c>
      <c r="AE50" s="291">
        <f t="shared" si="0"/>
      </c>
      <c r="AF50" s="292">
        <v>0</v>
      </c>
      <c r="AG50" s="102">
        <f t="shared" si="1"/>
      </c>
      <c r="AH50" s="293">
        <f t="shared" si="2"/>
      </c>
      <c r="AI50" s="140">
        <f>IF(ISNA(VLOOKUP($J$50,$AI$63:$AM$88,4,FALSE)),"",VLOOKUP($J$50,$AI$63:$AM$88,4,FALSE))</f>
      </c>
      <c r="AJ50" s="140">
        <f>IF(ISNA(VLOOKUP($J$50,$AI$63:$AM$88,5,FALSE)),"",VLOOKUP($J$50,$AI$63:$AM$88,5,FALSE))</f>
      </c>
      <c r="AK50" s="97">
        <f t="shared" si="7"/>
      </c>
      <c r="AL50" s="81">
        <f t="shared" si="3"/>
      </c>
      <c r="AM50" s="81">
        <f t="shared" si="8"/>
      </c>
      <c r="AN50" s="294">
        <f t="shared" si="4"/>
      </c>
      <c r="AO50" s="160"/>
      <c r="AP50" s="193">
        <f>IF(0&lt;(AO50*AP10),AO50*AP10,0)</f>
        <v>0</v>
      </c>
      <c r="AQ50" s="142"/>
      <c r="AR50" s="200"/>
      <c r="AS50" s="193"/>
      <c r="AT50" s="193">
        <f>IF(0&lt;(AS50*AT10),AS50*AT10,0)</f>
        <v>0</v>
      </c>
      <c r="AU50" s="146">
        <v>38</v>
      </c>
      <c r="AV50" s="160">
        <v>0.23</v>
      </c>
      <c r="AW50" s="142">
        <v>20</v>
      </c>
      <c r="AX50" s="147">
        <v>3.5</v>
      </c>
      <c r="AY50" s="147">
        <v>1</v>
      </c>
      <c r="AZ50" s="147">
        <v>5</v>
      </c>
      <c r="BA50" s="146">
        <v>50</v>
      </c>
      <c r="BB50" s="146">
        <v>3</v>
      </c>
      <c r="BC50" s="146">
        <v>8</v>
      </c>
      <c r="BD50" s="146">
        <v>1</v>
      </c>
      <c r="BE50" s="142">
        <v>30</v>
      </c>
      <c r="BF50" s="142">
        <v>50000</v>
      </c>
      <c r="BG50" s="205"/>
      <c r="BH50" s="205">
        <f t="shared" si="9"/>
      </c>
      <c r="BI50" s="205">
        <f t="shared" si="10"/>
      </c>
      <c r="BJ50" s="205">
        <f t="shared" si="11"/>
      </c>
      <c r="BK50" s="205">
        <f t="shared" si="12"/>
      </c>
      <c r="BL50" s="205">
        <f t="shared" si="13"/>
      </c>
      <c r="BM50" s="210">
        <f t="shared" si="14"/>
      </c>
      <c r="BN50" s="210">
        <f t="shared" si="15"/>
      </c>
      <c r="BO50" s="349">
        <f t="shared" si="5"/>
      </c>
      <c r="BP50" s="345">
        <f t="shared" si="6"/>
      </c>
    </row>
    <row r="51" spans="1:68" s="80" customFormat="1" ht="16.5" customHeight="1">
      <c r="A51" s="114"/>
      <c r="B51" s="115"/>
      <c r="C51" s="115"/>
      <c r="D51" s="213"/>
      <c r="E51" s="115"/>
      <c r="F51" s="115"/>
      <c r="G51" s="115"/>
      <c r="H51" s="115"/>
      <c r="I51" s="115"/>
      <c r="J51" s="187"/>
      <c r="K51" s="125">
        <f>IF(ISNA(VLOOKUP($J$51,Hilfstabelle!$AC$1:$AF$26,4,FALSE)),"",VLOOKUP($J$51,Hilfstabelle!$AC$1:$AF$26,4,FALSE))</f>
      </c>
      <c r="L51" s="116"/>
      <c r="M51" s="116"/>
      <c r="N51" s="116"/>
      <c r="O51" s="116"/>
      <c r="P51" s="117"/>
      <c r="Q51" s="117"/>
      <c r="R51" s="118"/>
      <c r="S51" s="125"/>
      <c r="T51" s="125"/>
      <c r="U51" s="126">
        <f>IF(ISNA(VLOOKUP($R$51&amp;$T$51&amp;$S$51,Hilfstabelle!$D$2:$E$138,2,FALSE)),"",VLOOKUP($R$51&amp;$T$51&amp;$S$51,Hilfstabelle!$D$2:$E$138,2,FALSE))</f>
      </c>
      <c r="V51" s="78">
        <f>IF(ISNUMBER($U$51*$Q$51),($U$51*$Q$51),"")</f>
      </c>
      <c r="W51" s="353">
        <f>IF(ISNUMBER($P$51*$V$51),($P$51*$V$51),"")</f>
      </c>
      <c r="X51" s="361"/>
      <c r="Y51" s="116"/>
      <c r="Z51" s="117"/>
      <c r="AA51" s="117">
        <f t="shared" si="16"/>
      </c>
      <c r="AB51" s="135">
        <v>300</v>
      </c>
      <c r="AC51" s="136">
        <v>0.8</v>
      </c>
      <c r="AD51" s="135">
        <v>0.75</v>
      </c>
      <c r="AE51" s="291">
        <f t="shared" si="0"/>
      </c>
      <c r="AF51" s="292">
        <v>0</v>
      </c>
      <c r="AG51" s="102">
        <f t="shared" si="1"/>
      </c>
      <c r="AH51" s="293">
        <f t="shared" si="2"/>
      </c>
      <c r="AI51" s="140">
        <f>IF(ISNA(VLOOKUP($J$51,$AI$63:$AM$88,4,FALSE)),"",VLOOKUP($J$51,$AI$63:$AM$88,4,FALSE))</f>
      </c>
      <c r="AJ51" s="140">
        <f>IF(ISNA(VLOOKUP($J$51,$AI$63:$AM$88,5,FALSE)),"",VLOOKUP($J$51,$AI$63:$AM$88,5,FALSE))</f>
      </c>
      <c r="AK51" s="97">
        <f t="shared" si="7"/>
      </c>
      <c r="AL51" s="81">
        <f t="shared" si="3"/>
      </c>
      <c r="AM51" s="81">
        <f t="shared" si="8"/>
      </c>
      <c r="AN51" s="294">
        <f t="shared" si="4"/>
      </c>
      <c r="AO51" s="160"/>
      <c r="AP51" s="193">
        <f>IF(0&lt;(AO51*AP10),AO51*AP10,0)</f>
        <v>0</v>
      </c>
      <c r="AQ51" s="142"/>
      <c r="AR51" s="200"/>
      <c r="AS51" s="193"/>
      <c r="AT51" s="193">
        <f>IF(0&lt;(AS51*AT10),AS51*AT10,0)</f>
        <v>0</v>
      </c>
      <c r="AU51" s="146">
        <v>38</v>
      </c>
      <c r="AV51" s="160">
        <v>0.23</v>
      </c>
      <c r="AW51" s="142">
        <v>20</v>
      </c>
      <c r="AX51" s="147">
        <v>3.5</v>
      </c>
      <c r="AY51" s="147">
        <v>1</v>
      </c>
      <c r="AZ51" s="147">
        <v>5</v>
      </c>
      <c r="BA51" s="146">
        <v>50</v>
      </c>
      <c r="BB51" s="146">
        <v>3</v>
      </c>
      <c r="BC51" s="146">
        <v>8</v>
      </c>
      <c r="BD51" s="146">
        <v>1</v>
      </c>
      <c r="BE51" s="142">
        <v>30</v>
      </c>
      <c r="BF51" s="142">
        <v>50000</v>
      </c>
      <c r="BG51" s="205"/>
      <c r="BH51" s="205">
        <f t="shared" si="9"/>
      </c>
      <c r="BI51" s="205">
        <f t="shared" si="10"/>
      </c>
      <c r="BJ51" s="205">
        <f t="shared" si="11"/>
      </c>
      <c r="BK51" s="205">
        <f t="shared" si="12"/>
      </c>
      <c r="BL51" s="205">
        <f t="shared" si="13"/>
      </c>
      <c r="BM51" s="210">
        <f t="shared" si="14"/>
      </c>
      <c r="BN51" s="210">
        <f t="shared" si="15"/>
      </c>
      <c r="BO51" s="349">
        <f t="shared" si="5"/>
      </c>
      <c r="BP51" s="345">
        <f t="shared" si="6"/>
      </c>
    </row>
    <row r="52" spans="1:68" s="80" customFormat="1" ht="16.5" customHeight="1">
      <c r="A52" s="114"/>
      <c r="B52" s="115"/>
      <c r="C52" s="115"/>
      <c r="D52" s="213"/>
      <c r="E52" s="115"/>
      <c r="F52" s="115"/>
      <c r="G52" s="115"/>
      <c r="H52" s="115"/>
      <c r="I52" s="115"/>
      <c r="J52" s="187"/>
      <c r="K52" s="125">
        <f>IF(ISNA(VLOOKUP($J$52,Hilfstabelle!$AC$1:$AF$26,4,FALSE)),"",VLOOKUP($J$52,Hilfstabelle!$AC$1:$AF$26,4,FALSE))</f>
      </c>
      <c r="L52" s="116"/>
      <c r="M52" s="116"/>
      <c r="N52" s="116"/>
      <c r="O52" s="116"/>
      <c r="P52" s="117"/>
      <c r="Q52" s="117"/>
      <c r="R52" s="118"/>
      <c r="S52" s="125"/>
      <c r="T52" s="125"/>
      <c r="U52" s="126">
        <f>IF(ISNA(VLOOKUP($R$52&amp;$T$52&amp;$S$52,Hilfstabelle!$D$2:$E$138,2,FALSE)),"",VLOOKUP($R$52&amp;$T$52&amp;$S$52,Hilfstabelle!$D$2:$E$138,2,FALSE))</f>
      </c>
      <c r="V52" s="78">
        <f>IF(ISNUMBER($U$52*$Q$52),($U$52*$Q$52),"")</f>
      </c>
      <c r="W52" s="353">
        <f>IF(ISNUMBER($P$52*$V$52),($P$52*$V$52),"")</f>
      </c>
      <c r="X52" s="361"/>
      <c r="Y52" s="116"/>
      <c r="Z52" s="117"/>
      <c r="AA52" s="117">
        <f t="shared" si="16"/>
      </c>
      <c r="AB52" s="135">
        <v>300</v>
      </c>
      <c r="AC52" s="136">
        <v>0.8</v>
      </c>
      <c r="AD52" s="135">
        <v>0.75</v>
      </c>
      <c r="AE52" s="291">
        <f t="shared" si="0"/>
      </c>
      <c r="AF52" s="292">
        <v>0</v>
      </c>
      <c r="AG52" s="102">
        <f t="shared" si="1"/>
      </c>
      <c r="AH52" s="293">
        <f t="shared" si="2"/>
      </c>
      <c r="AI52" s="140">
        <f>IF(ISNA(VLOOKUP($J$52,$AI$63:$AM$88,4,FALSE)),"",VLOOKUP($J$52,$AI$63:$AM$88,4,FALSE))</f>
      </c>
      <c r="AJ52" s="140">
        <f>IF(ISNA(VLOOKUP($J$52,$AI$63:$AM$88,5,FALSE)),"",VLOOKUP($J$52,$AI$63:$AM$88,5,FALSE))</f>
      </c>
      <c r="AK52" s="97">
        <f t="shared" si="7"/>
      </c>
      <c r="AL52" s="81">
        <f t="shared" si="3"/>
      </c>
      <c r="AM52" s="81">
        <f t="shared" si="8"/>
      </c>
      <c r="AN52" s="294">
        <f t="shared" si="4"/>
      </c>
      <c r="AO52" s="160"/>
      <c r="AP52" s="193">
        <f>IF(0&lt;(AO52*AP10),AO52*AP10,0)</f>
        <v>0</v>
      </c>
      <c r="AQ52" s="142"/>
      <c r="AR52" s="200"/>
      <c r="AS52" s="193"/>
      <c r="AT52" s="193">
        <f>IF(0&lt;(AS52*AT10),AS52*AT10,0)</f>
        <v>0</v>
      </c>
      <c r="AU52" s="146">
        <v>38</v>
      </c>
      <c r="AV52" s="160">
        <v>0.23</v>
      </c>
      <c r="AW52" s="142">
        <v>20</v>
      </c>
      <c r="AX52" s="147">
        <v>3.5</v>
      </c>
      <c r="AY52" s="147">
        <v>1</v>
      </c>
      <c r="AZ52" s="147">
        <v>5</v>
      </c>
      <c r="BA52" s="146">
        <v>50</v>
      </c>
      <c r="BB52" s="146">
        <v>3</v>
      </c>
      <c r="BC52" s="146">
        <v>8</v>
      </c>
      <c r="BD52" s="146">
        <v>1</v>
      </c>
      <c r="BE52" s="142">
        <v>30</v>
      </c>
      <c r="BF52" s="142">
        <v>50000</v>
      </c>
      <c r="BG52" s="205"/>
      <c r="BH52" s="205">
        <f t="shared" si="9"/>
      </c>
      <c r="BI52" s="205">
        <f t="shared" si="10"/>
      </c>
      <c r="BJ52" s="205">
        <f t="shared" si="11"/>
      </c>
      <c r="BK52" s="205">
        <f t="shared" si="12"/>
      </c>
      <c r="BL52" s="205">
        <f t="shared" si="13"/>
      </c>
      <c r="BM52" s="210">
        <f t="shared" si="14"/>
      </c>
      <c r="BN52" s="210">
        <f t="shared" si="15"/>
      </c>
      <c r="BO52" s="349">
        <f t="shared" si="5"/>
      </c>
      <c r="BP52" s="345">
        <f t="shared" si="6"/>
      </c>
    </row>
    <row r="53" spans="1:68" s="80" customFormat="1" ht="16.5" customHeight="1">
      <c r="A53" s="114"/>
      <c r="B53" s="115"/>
      <c r="C53" s="115"/>
      <c r="D53" s="213"/>
      <c r="E53" s="115"/>
      <c r="F53" s="115"/>
      <c r="G53" s="115"/>
      <c r="H53" s="115"/>
      <c r="I53" s="115"/>
      <c r="J53" s="187"/>
      <c r="K53" s="125">
        <f>IF(ISNA(VLOOKUP($J$53,Hilfstabelle!$AC$1:$AF$26,4,FALSE)),"",VLOOKUP($J$53,Hilfstabelle!$AC$1:$AF$26,4,FALSE))</f>
      </c>
      <c r="L53" s="116"/>
      <c r="M53" s="116"/>
      <c r="N53" s="116"/>
      <c r="O53" s="116"/>
      <c r="P53" s="117"/>
      <c r="Q53" s="117"/>
      <c r="R53" s="118"/>
      <c r="S53" s="125"/>
      <c r="T53" s="125"/>
      <c r="U53" s="126">
        <f>IF(ISNA(VLOOKUP($R$53&amp;$T$53&amp;$S$53,Hilfstabelle!$D$2:$E$138,2,FALSE)),"",VLOOKUP($R$53&amp;$T$53&amp;$S$53,Hilfstabelle!$D$2:$E$138,2,FALSE))</f>
      </c>
      <c r="V53" s="78">
        <f>IF(ISNUMBER($U$53*$Q$53),($U$53*$Q$53),"")</f>
      </c>
      <c r="W53" s="353">
        <f>IF(ISNUMBER($P$53*$V$53),($P$53*$V$53),"")</f>
      </c>
      <c r="X53" s="361"/>
      <c r="Y53" s="116"/>
      <c r="Z53" s="117"/>
      <c r="AA53" s="117">
        <f t="shared" si="16"/>
      </c>
      <c r="AB53" s="135">
        <v>300</v>
      </c>
      <c r="AC53" s="136">
        <v>0.8</v>
      </c>
      <c r="AD53" s="135">
        <v>0.75</v>
      </c>
      <c r="AE53" s="291">
        <f t="shared" si="0"/>
      </c>
      <c r="AF53" s="292">
        <v>0</v>
      </c>
      <c r="AG53" s="102">
        <f t="shared" si="1"/>
      </c>
      <c r="AH53" s="293">
        <f t="shared" si="2"/>
      </c>
      <c r="AI53" s="140">
        <f>IF(ISNA(VLOOKUP($J$53,$AI$63:$AM$88,4,FALSE)),"",VLOOKUP($J$53,$AI$63:$AM$88,4,FALSE))</f>
      </c>
      <c r="AJ53" s="140">
        <f>IF(ISNA(VLOOKUP($J$53,$AI$63:$AM$88,5,FALSE)),"",VLOOKUP($J$53,$AI$63:$AM$88,5,FALSE))</f>
      </c>
      <c r="AK53" s="97">
        <f t="shared" si="7"/>
      </c>
      <c r="AL53" s="81">
        <f t="shared" si="3"/>
      </c>
      <c r="AM53" s="81">
        <f t="shared" si="8"/>
      </c>
      <c r="AN53" s="294">
        <f t="shared" si="4"/>
      </c>
      <c r="AO53" s="160"/>
      <c r="AP53" s="193">
        <f>IF(0&lt;(AO53*AP10),AO53*AP10,0)</f>
        <v>0</v>
      </c>
      <c r="AQ53" s="142"/>
      <c r="AR53" s="200"/>
      <c r="AS53" s="193"/>
      <c r="AT53" s="193">
        <f>IF(0&lt;(AS53*AT10),AS53*AT10,0)</f>
        <v>0</v>
      </c>
      <c r="AU53" s="146">
        <v>38</v>
      </c>
      <c r="AV53" s="160">
        <v>0.23</v>
      </c>
      <c r="AW53" s="142">
        <v>20</v>
      </c>
      <c r="AX53" s="147">
        <v>3.5</v>
      </c>
      <c r="AY53" s="147">
        <v>1</v>
      </c>
      <c r="AZ53" s="147">
        <v>5</v>
      </c>
      <c r="BA53" s="146">
        <v>50</v>
      </c>
      <c r="BB53" s="146">
        <v>3</v>
      </c>
      <c r="BC53" s="146">
        <v>8</v>
      </c>
      <c r="BD53" s="146">
        <v>1</v>
      </c>
      <c r="BE53" s="142">
        <v>30</v>
      </c>
      <c r="BF53" s="142">
        <v>50000</v>
      </c>
      <c r="BG53" s="205"/>
      <c r="BH53" s="205">
        <f t="shared" si="9"/>
      </c>
      <c r="BI53" s="205">
        <f t="shared" si="10"/>
      </c>
      <c r="BJ53" s="205">
        <f t="shared" si="11"/>
      </c>
      <c r="BK53" s="205">
        <f t="shared" si="12"/>
      </c>
      <c r="BL53" s="205">
        <f t="shared" si="13"/>
      </c>
      <c r="BM53" s="210">
        <f t="shared" si="14"/>
      </c>
      <c r="BN53" s="210">
        <f t="shared" si="15"/>
      </c>
      <c r="BO53" s="349">
        <f t="shared" si="5"/>
      </c>
      <c r="BP53" s="345">
        <f t="shared" si="6"/>
      </c>
    </row>
    <row r="54" spans="1:68" s="80" customFormat="1" ht="16.5" customHeight="1" thickBot="1">
      <c r="A54" s="290"/>
      <c r="B54" s="119"/>
      <c r="C54" s="119"/>
      <c r="D54" s="217"/>
      <c r="E54" s="119"/>
      <c r="F54" s="119"/>
      <c r="G54" s="119"/>
      <c r="H54" s="119"/>
      <c r="I54" s="119"/>
      <c r="J54" s="191"/>
      <c r="K54" s="123">
        <f>IF(ISNA(VLOOKUP($J$54,Hilfstabelle!$AC$1:$AF$26,4,FALSE)),"",VLOOKUP($J$54,Hilfstabelle!$AC$1:$AF$26,4,FALSE))</f>
      </c>
      <c r="L54" s="120"/>
      <c r="M54" s="120"/>
      <c r="N54" s="120"/>
      <c r="O54" s="120"/>
      <c r="P54" s="121"/>
      <c r="Q54" s="121"/>
      <c r="R54" s="122"/>
      <c r="S54" s="123"/>
      <c r="T54" s="123"/>
      <c r="U54" s="124">
        <f>IF(ISNA(VLOOKUP($R$54&amp;$T$54&amp;$S$54,Hilfstabelle!$D$2:$E$138,2,FALSE)),"",VLOOKUP($R$54&amp;$T$54&amp;$S$54,Hilfstabelle!$D$2:$E$138,2,FALSE))</f>
      </c>
      <c r="V54" s="100">
        <f>IF(ISNUMBER($U$54*$Q$54),($U$54*$Q$54),"")</f>
      </c>
      <c r="W54" s="355">
        <f>IF(ISNUMBER($P$54*$V$54),($P$54*$V$54),"")</f>
      </c>
      <c r="X54" s="362"/>
      <c r="Y54" s="120"/>
      <c r="Z54" s="121"/>
      <c r="AA54" s="121">
        <f t="shared" si="16"/>
      </c>
      <c r="AB54" s="137">
        <v>300</v>
      </c>
      <c r="AC54" s="138">
        <v>0.8</v>
      </c>
      <c r="AD54" s="137">
        <v>0.75</v>
      </c>
      <c r="AE54" s="309">
        <f t="shared" si="0"/>
      </c>
      <c r="AF54" s="310">
        <v>0</v>
      </c>
      <c r="AG54" s="101">
        <f t="shared" si="1"/>
      </c>
      <c r="AH54" s="311">
        <f t="shared" si="2"/>
      </c>
      <c r="AI54" s="141">
        <f>IF(ISNA(VLOOKUP($J$54,$AI$63:$AM$88,4,FALSE)),"",VLOOKUP($J$54,$AI$63:$AM$88,4,FALSE))</f>
      </c>
      <c r="AJ54" s="141">
        <f>IF(ISNA(VLOOKUP($J$54,$AI$63:$AM$88,5,FALSE)),"",VLOOKUP($J$54,$AI$63:$AM$88,5,FALSE))</f>
      </c>
      <c r="AK54" s="98">
        <f t="shared" si="7"/>
      </c>
      <c r="AL54" s="82">
        <f t="shared" si="3"/>
      </c>
      <c r="AM54" s="82">
        <f t="shared" si="8"/>
      </c>
      <c r="AN54" s="312">
        <f t="shared" si="4"/>
      </c>
      <c r="AO54" s="161"/>
      <c r="AP54" s="196">
        <f>IF(0&lt;(AO54*AP10),AO54*AP10,0)</f>
        <v>0</v>
      </c>
      <c r="AQ54" s="148"/>
      <c r="AR54" s="203"/>
      <c r="AS54" s="196"/>
      <c r="AT54" s="196">
        <f>IF(0&lt;(AS54*AT10),AS54*AT10,0)</f>
        <v>0</v>
      </c>
      <c r="AU54" s="149">
        <v>38</v>
      </c>
      <c r="AV54" s="161">
        <v>0.23</v>
      </c>
      <c r="AW54" s="148">
        <v>20</v>
      </c>
      <c r="AX54" s="150">
        <v>3.5</v>
      </c>
      <c r="AY54" s="150">
        <v>1</v>
      </c>
      <c r="AZ54" s="150">
        <v>5</v>
      </c>
      <c r="BA54" s="149">
        <v>50</v>
      </c>
      <c r="BB54" s="149">
        <v>3</v>
      </c>
      <c r="BC54" s="149">
        <v>8</v>
      </c>
      <c r="BD54" s="149">
        <v>1</v>
      </c>
      <c r="BE54" s="148">
        <v>30</v>
      </c>
      <c r="BF54" s="148">
        <v>50000</v>
      </c>
      <c r="BG54" s="208"/>
      <c r="BH54" s="208">
        <f t="shared" si="9"/>
      </c>
      <c r="BI54" s="208">
        <f t="shared" si="10"/>
      </c>
      <c r="BJ54" s="208">
        <f t="shared" si="11"/>
      </c>
      <c r="BK54" s="208">
        <f t="shared" si="12"/>
      </c>
      <c r="BL54" s="208">
        <f t="shared" si="13"/>
      </c>
      <c r="BM54" s="211">
        <f t="shared" si="14"/>
      </c>
      <c r="BN54" s="211">
        <f t="shared" si="15"/>
      </c>
      <c r="BO54" s="351">
        <f t="shared" si="5"/>
      </c>
      <c r="BP54" s="347">
        <f t="shared" si="6"/>
      </c>
    </row>
    <row r="55" spans="1:68" s="50" customFormat="1" ht="16.5" thickBot="1">
      <c r="A55" s="220"/>
      <c r="B55" s="274">
        <f>SUM(B15:B54)</f>
        <v>0</v>
      </c>
      <c r="C55" s="275"/>
      <c r="D55" s="276">
        <f>SUM(D15:D54)</f>
        <v>0</v>
      </c>
      <c r="E55" s="277"/>
      <c r="F55" s="275"/>
      <c r="G55" s="275"/>
      <c r="H55" s="275"/>
      <c r="I55" s="275"/>
      <c r="J55" s="275"/>
      <c r="K55" s="278"/>
      <c r="L55" s="278"/>
      <c r="M55" s="278"/>
      <c r="N55" s="278"/>
      <c r="O55" s="278"/>
      <c r="P55" s="279">
        <f>SUM(P15:P54)</f>
        <v>0</v>
      </c>
      <c r="Q55" s="280"/>
      <c r="R55" s="278"/>
      <c r="S55" s="279"/>
      <c r="T55" s="279"/>
      <c r="U55" s="279"/>
      <c r="V55" s="281"/>
      <c r="W55" s="282">
        <f>SUM(W15:W54)</f>
        <v>0</v>
      </c>
      <c r="X55" s="59"/>
      <c r="Y55" s="59"/>
      <c r="Z55" s="49"/>
      <c r="AA55" s="49"/>
      <c r="AB55" s="49"/>
      <c r="AC55" s="49"/>
      <c r="AD55" s="49"/>
      <c r="AE55" s="56">
        <f>SUM(AE15:AE54)</f>
        <v>0</v>
      </c>
      <c r="AF55" s="170"/>
      <c r="AG55" s="171">
        <f>SUM(AG15:AG54)</f>
        <v>0</v>
      </c>
      <c r="AH55" s="172">
        <f t="shared" si="2"/>
      </c>
      <c r="AI55" s="55"/>
      <c r="AJ55" s="55"/>
      <c r="AK55" s="55"/>
      <c r="AL55" s="52">
        <f>SUM(AL15:AL54)</f>
        <v>0</v>
      </c>
      <c r="AM55" s="219">
        <f>SUM(AM15:AM54)</f>
        <v>0</v>
      </c>
      <c r="AN55" s="99">
        <f>IF(ISNUMBER(1-(W55-AL55)/W55),1-(W55-AL55)/W55,"")</f>
      </c>
      <c r="AO55" s="283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5">
        <f aca="true" t="shared" si="32" ref="BG55:BL55">SUM(BG15:BG54)</f>
        <v>0</v>
      </c>
      <c r="BH55" s="286">
        <f t="shared" si="32"/>
        <v>0</v>
      </c>
      <c r="BI55" s="286">
        <f t="shared" si="32"/>
        <v>0</v>
      </c>
      <c r="BJ55" s="286">
        <f t="shared" si="32"/>
        <v>0</v>
      </c>
      <c r="BK55" s="286">
        <f t="shared" si="32"/>
        <v>0</v>
      </c>
      <c r="BL55" s="286">
        <f t="shared" si="32"/>
        <v>0</v>
      </c>
      <c r="BM55" s="287">
        <f t="shared" si="14"/>
      </c>
      <c r="BN55" s="288">
        <f t="shared" si="15"/>
        <v>0</v>
      </c>
      <c r="BO55" s="284"/>
      <c r="BP55" s="289"/>
    </row>
    <row r="56" spans="1:40" s="28" customFormat="1" ht="12.75">
      <c r="A56" s="29"/>
      <c r="B56" s="29"/>
      <c r="C56" s="29"/>
      <c r="D56" s="29"/>
      <c r="E56" s="29"/>
      <c r="F56" s="29"/>
      <c r="G56" s="29"/>
      <c r="H56" s="29"/>
      <c r="I56" s="29"/>
      <c r="K56" s="30"/>
      <c r="L56" s="30"/>
      <c r="M56" s="30"/>
      <c r="N56" s="30"/>
      <c r="O56" s="30"/>
      <c r="P56" s="32"/>
      <c r="Q56" s="32"/>
      <c r="R56" s="30"/>
      <c r="S56" s="31"/>
      <c r="T56" s="31"/>
      <c r="U56" s="31"/>
      <c r="V56" s="32"/>
      <c r="W56" s="33"/>
      <c r="X56" s="30"/>
      <c r="Y56" s="30"/>
      <c r="Z56" s="33"/>
      <c r="AA56" s="33"/>
      <c r="AB56" s="33"/>
      <c r="AC56" s="33"/>
      <c r="AD56" s="33"/>
      <c r="AE56" s="33"/>
      <c r="AF56" s="33"/>
      <c r="AG56" s="33"/>
      <c r="AH56" s="25"/>
      <c r="AI56" s="25"/>
      <c r="AJ56" s="25"/>
      <c r="AK56" s="25"/>
      <c r="AL56" s="33"/>
      <c r="AM56" s="33"/>
      <c r="AN56" s="25"/>
    </row>
    <row r="57" spans="1:35" s="28" customFormat="1" ht="12.75">
      <c r="A57" s="28" t="s">
        <v>94</v>
      </c>
      <c r="B57" s="1"/>
      <c r="C57" s="1"/>
      <c r="D57" s="1"/>
      <c r="E57" s="1"/>
      <c r="F57" s="1"/>
      <c r="G57" s="1"/>
      <c r="H57" s="1"/>
      <c r="I57" s="1"/>
      <c r="K57" s="30"/>
      <c r="L57" s="30"/>
      <c r="M57" s="30"/>
      <c r="N57" s="30"/>
      <c r="O57" s="30"/>
      <c r="P57" s="32"/>
      <c r="Q57" s="32"/>
      <c r="R57" s="30"/>
      <c r="S57" s="31"/>
      <c r="T57" s="31"/>
      <c r="U57" s="31"/>
      <c r="V57" s="32"/>
      <c r="W57" s="33"/>
      <c r="Y57" s="1"/>
      <c r="Z57" s="33"/>
      <c r="AA57" s="33"/>
      <c r="AB57" s="33"/>
      <c r="AC57" s="33"/>
      <c r="AD57" s="33"/>
      <c r="AE57" s="33"/>
      <c r="AF57" s="33"/>
      <c r="AG57" s="33"/>
      <c r="AH57" s="25"/>
      <c r="AI57" s="1" t="s">
        <v>131</v>
      </c>
    </row>
    <row r="58" spans="1:39" ht="12.75">
      <c r="A58" s="14" t="s">
        <v>223</v>
      </c>
      <c r="AI58" s="1" t="s">
        <v>181</v>
      </c>
      <c r="AL58" s="83"/>
      <c r="AM58" s="83"/>
    </row>
    <row r="59" spans="31:33" ht="12.75">
      <c r="AE59" s="54"/>
      <c r="AF59" s="54"/>
      <c r="AG59" s="53"/>
    </row>
    <row r="60" spans="1:39" ht="12.75">
      <c r="A60" s="13" t="s">
        <v>95</v>
      </c>
      <c r="B60" s="13"/>
      <c r="C60" s="13"/>
      <c r="D60" s="13"/>
      <c r="AI60" s="1" t="s">
        <v>102</v>
      </c>
      <c r="AL60" s="83"/>
      <c r="AM60" s="83"/>
    </row>
    <row r="61" spans="1:43" ht="12.75">
      <c r="A61" s="13" t="s">
        <v>32</v>
      </c>
      <c r="B61" s="13" t="s">
        <v>33</v>
      </c>
      <c r="C61" s="13" t="s">
        <v>34</v>
      </c>
      <c r="D61" s="13" t="s">
        <v>35</v>
      </c>
      <c r="J61" s="28"/>
      <c r="AO61" s="28"/>
      <c r="AP61" s="28"/>
      <c r="AQ61" s="28"/>
    </row>
    <row r="62" spans="1:39" ht="12.75">
      <c r="A62" s="34" t="s">
        <v>24</v>
      </c>
      <c r="B62" s="35" t="s">
        <v>36</v>
      </c>
      <c r="C62" s="35" t="s">
        <v>37</v>
      </c>
      <c r="D62" s="35" t="s">
        <v>38</v>
      </c>
      <c r="E62" s="40"/>
      <c r="F62" s="40"/>
      <c r="G62" s="40"/>
      <c r="H62" s="40"/>
      <c r="I62" s="38"/>
      <c r="K62" s="39"/>
      <c r="L62" s="39"/>
      <c r="M62" s="39"/>
      <c r="N62" s="39"/>
      <c r="O62" s="39"/>
      <c r="P62" s="39"/>
      <c r="AI62" s="90" t="s">
        <v>191</v>
      </c>
      <c r="AJ62" s="91"/>
      <c r="AK62" s="91"/>
      <c r="AL62" s="92" t="s">
        <v>200</v>
      </c>
      <c r="AM62" s="93" t="s">
        <v>192</v>
      </c>
    </row>
    <row r="63" spans="1:39" ht="12.75">
      <c r="A63" s="34" t="s">
        <v>22</v>
      </c>
      <c r="B63" s="35" t="s">
        <v>39</v>
      </c>
      <c r="C63" s="35" t="s">
        <v>40</v>
      </c>
      <c r="D63" s="35" t="s">
        <v>41</v>
      </c>
      <c r="E63" s="40"/>
      <c r="F63" s="40"/>
      <c r="G63" s="40"/>
      <c r="H63" s="40"/>
      <c r="I63" s="38"/>
      <c r="K63" s="39"/>
      <c r="L63" s="39"/>
      <c r="M63" s="39"/>
      <c r="N63" s="39"/>
      <c r="O63" s="39"/>
      <c r="P63" s="39"/>
      <c r="AI63" s="89" t="s">
        <v>135</v>
      </c>
      <c r="AL63" s="94">
        <v>0.285</v>
      </c>
      <c r="AM63" s="94">
        <v>0.5968309960000002</v>
      </c>
    </row>
    <row r="64" spans="1:39" ht="12.75">
      <c r="A64" s="34" t="s">
        <v>20</v>
      </c>
      <c r="B64" s="35" t="s">
        <v>39</v>
      </c>
      <c r="C64" s="35" t="s">
        <v>42</v>
      </c>
      <c r="D64" s="35" t="s">
        <v>43</v>
      </c>
      <c r="E64" s="40"/>
      <c r="F64" s="40"/>
      <c r="G64" s="40"/>
      <c r="H64" s="40"/>
      <c r="I64" s="38"/>
      <c r="K64" s="39"/>
      <c r="L64" s="39"/>
      <c r="M64" s="39"/>
      <c r="N64" s="39"/>
      <c r="O64" s="39"/>
      <c r="P64" s="39"/>
      <c r="AI64" s="89" t="s">
        <v>136</v>
      </c>
      <c r="AL64" s="94">
        <v>0</v>
      </c>
      <c r="AM64" s="94">
        <v>0.37852646745454555</v>
      </c>
    </row>
    <row r="65" spans="1:39" ht="12.75">
      <c r="A65" s="35" t="s">
        <v>23</v>
      </c>
      <c r="B65" s="35" t="s">
        <v>44</v>
      </c>
      <c r="C65" s="35" t="s">
        <v>45</v>
      </c>
      <c r="D65" s="35" t="s">
        <v>46</v>
      </c>
      <c r="E65" s="40"/>
      <c r="F65" s="40"/>
      <c r="G65" s="40"/>
      <c r="H65" s="40"/>
      <c r="I65" s="38"/>
      <c r="K65" s="39"/>
      <c r="L65" s="39"/>
      <c r="M65" s="39"/>
      <c r="N65" s="39"/>
      <c r="O65" s="39"/>
      <c r="P65" s="39"/>
      <c r="AI65" s="89" t="s">
        <v>137</v>
      </c>
      <c r="AL65" s="94">
        <v>0.475</v>
      </c>
      <c r="AM65" s="94">
        <v>0.47262324700000014</v>
      </c>
    </row>
    <row r="66" spans="1:39" ht="12.75">
      <c r="A66" s="36" t="s">
        <v>18</v>
      </c>
      <c r="B66" s="36" t="s">
        <v>47</v>
      </c>
      <c r="C66" s="36" t="s">
        <v>48</v>
      </c>
      <c r="D66" s="36" t="s">
        <v>49</v>
      </c>
      <c r="E66" s="36"/>
      <c r="F66" s="36"/>
      <c r="G66" s="36"/>
      <c r="H66" s="36"/>
      <c r="I66" s="57"/>
      <c r="K66" s="57"/>
      <c r="L66" s="57"/>
      <c r="M66" s="57"/>
      <c r="N66" s="57"/>
      <c r="O66" s="57"/>
      <c r="P66" s="57"/>
      <c r="AI66" s="89" t="s">
        <v>138</v>
      </c>
      <c r="AL66" s="94">
        <v>0</v>
      </c>
      <c r="AM66" s="94">
        <v>0.41616517927272734</v>
      </c>
    </row>
    <row r="67" spans="1:39" ht="12.75">
      <c r="A67" s="36" t="s">
        <v>15</v>
      </c>
      <c r="B67" s="36" t="s">
        <v>50</v>
      </c>
      <c r="C67" s="36" t="s">
        <v>51</v>
      </c>
      <c r="D67" s="36" t="s">
        <v>49</v>
      </c>
      <c r="E67" s="36"/>
      <c r="F67" s="36"/>
      <c r="G67" s="36"/>
      <c r="H67" s="36"/>
      <c r="I67" s="57"/>
      <c r="K67" s="57"/>
      <c r="L67" s="57"/>
      <c r="M67" s="57"/>
      <c r="N67" s="57"/>
      <c r="O67" s="57"/>
      <c r="P67" s="57"/>
      <c r="AI67" s="89" t="s">
        <v>139</v>
      </c>
      <c r="AL67" s="94">
        <v>0.2375</v>
      </c>
      <c r="AM67" s="94">
        <v>0.5478945625</v>
      </c>
    </row>
    <row r="68" spans="1:39" ht="12.75">
      <c r="A68" s="36" t="s">
        <v>19</v>
      </c>
      <c r="B68" s="36" t="s">
        <v>52</v>
      </c>
      <c r="C68" s="36" t="s">
        <v>53</v>
      </c>
      <c r="D68" s="36" t="s">
        <v>54</v>
      </c>
      <c r="E68" s="36"/>
      <c r="F68" s="36"/>
      <c r="G68" s="36"/>
      <c r="H68" s="36"/>
      <c r="I68" s="57"/>
      <c r="K68" s="57"/>
      <c r="L68" s="57"/>
      <c r="M68" s="57"/>
      <c r="N68" s="57"/>
      <c r="O68" s="57"/>
      <c r="P68" s="57"/>
      <c r="AI68" s="89" t="s">
        <v>140</v>
      </c>
      <c r="AL68" s="94">
        <v>0.2375</v>
      </c>
      <c r="AM68" s="94">
        <v>0</v>
      </c>
    </row>
    <row r="69" spans="1:39" ht="12.75">
      <c r="A69" s="36" t="s">
        <v>17</v>
      </c>
      <c r="B69" s="36" t="s">
        <v>55</v>
      </c>
      <c r="C69" s="36" t="s">
        <v>56</v>
      </c>
      <c r="D69" s="36" t="s">
        <v>49</v>
      </c>
      <c r="E69" s="36"/>
      <c r="F69" s="36"/>
      <c r="G69" s="36"/>
      <c r="H69" s="36"/>
      <c r="I69" s="57"/>
      <c r="K69" s="57"/>
      <c r="L69" s="57"/>
      <c r="M69" s="57"/>
      <c r="N69" s="57"/>
      <c r="O69" s="57"/>
      <c r="P69" s="57"/>
      <c r="AI69" s="89" t="s">
        <v>141</v>
      </c>
      <c r="AL69" s="94">
        <v>0</v>
      </c>
      <c r="AM69" s="94">
        <v>0</v>
      </c>
    </row>
    <row r="70" spans="1:39" ht="12.75">
      <c r="A70" s="36" t="s">
        <v>16</v>
      </c>
      <c r="B70" s="36" t="s">
        <v>57</v>
      </c>
      <c r="C70" s="36" t="s">
        <v>58</v>
      </c>
      <c r="D70" s="36" t="s">
        <v>49</v>
      </c>
      <c r="E70" s="36"/>
      <c r="F70" s="36"/>
      <c r="G70" s="36"/>
      <c r="H70" s="36"/>
      <c r="I70" s="57"/>
      <c r="K70" s="57"/>
      <c r="L70" s="57"/>
      <c r="M70" s="57"/>
      <c r="N70" s="57"/>
      <c r="O70" s="57"/>
      <c r="P70" s="57"/>
      <c r="AI70" s="89" t="s">
        <v>142</v>
      </c>
      <c r="AL70" s="94">
        <v>0.2375</v>
      </c>
      <c r="AM70" s="94">
        <v>0</v>
      </c>
    </row>
    <row r="71" spans="1:39" ht="12.75">
      <c r="A71" s="36" t="s">
        <v>14</v>
      </c>
      <c r="B71" s="36" t="s">
        <v>59</v>
      </c>
      <c r="C71" s="37" t="s">
        <v>60</v>
      </c>
      <c r="D71" s="36" t="s">
        <v>49</v>
      </c>
      <c r="E71" s="36"/>
      <c r="F71" s="36"/>
      <c r="G71" s="36"/>
      <c r="H71" s="36"/>
      <c r="I71" s="57"/>
      <c r="K71" s="57"/>
      <c r="L71" s="57"/>
      <c r="M71" s="57"/>
      <c r="N71" s="57"/>
      <c r="O71" s="57"/>
      <c r="P71" s="57"/>
      <c r="AI71" s="89" t="s">
        <v>143</v>
      </c>
      <c r="AL71" s="94">
        <v>0</v>
      </c>
      <c r="AM71" s="94">
        <v>0.2954448999999999</v>
      </c>
    </row>
    <row r="72" spans="1:39" ht="12.75">
      <c r="A72" s="35" t="s">
        <v>13</v>
      </c>
      <c r="B72" s="35" t="s">
        <v>61</v>
      </c>
      <c r="C72" s="35" t="s">
        <v>62</v>
      </c>
      <c r="D72" s="35" t="s">
        <v>63</v>
      </c>
      <c r="E72" s="40"/>
      <c r="F72" s="40"/>
      <c r="G72" s="40"/>
      <c r="H72" s="40"/>
      <c r="I72" s="38"/>
      <c r="K72" s="39"/>
      <c r="L72" s="39"/>
      <c r="M72" s="39"/>
      <c r="N72" s="39"/>
      <c r="O72" s="39"/>
      <c r="P72" s="39"/>
      <c r="AI72" s="89" t="s">
        <v>144</v>
      </c>
      <c r="AL72" s="94">
        <v>0</v>
      </c>
      <c r="AM72" s="94">
        <v>0.21219467949999993</v>
      </c>
    </row>
    <row r="73" spans="1:39" ht="12.75">
      <c r="A73" s="35" t="s">
        <v>12</v>
      </c>
      <c r="B73" s="35" t="s">
        <v>64</v>
      </c>
      <c r="C73" s="35" t="s">
        <v>65</v>
      </c>
      <c r="D73" s="35" t="s">
        <v>66</v>
      </c>
      <c r="E73" s="40"/>
      <c r="F73" s="40"/>
      <c r="G73" s="40"/>
      <c r="H73" s="40"/>
      <c r="I73" s="38"/>
      <c r="K73" s="39"/>
      <c r="L73" s="39"/>
      <c r="M73" s="39"/>
      <c r="N73" s="39"/>
      <c r="O73" s="39"/>
      <c r="P73" s="39"/>
      <c r="AI73" s="89" t="s">
        <v>145</v>
      </c>
      <c r="AL73" s="94">
        <v>0</v>
      </c>
      <c r="AM73" s="94">
        <v>0.4551456205128206</v>
      </c>
    </row>
    <row r="74" spans="1:39" ht="12.75">
      <c r="A74" s="35" t="s">
        <v>11</v>
      </c>
      <c r="B74" s="35" t="s">
        <v>67</v>
      </c>
      <c r="C74" s="35" t="s">
        <v>68</v>
      </c>
      <c r="D74" s="35" t="s">
        <v>69</v>
      </c>
      <c r="E74" s="40"/>
      <c r="F74" s="40"/>
      <c r="G74" s="40"/>
      <c r="H74" s="40"/>
      <c r="I74" s="38"/>
      <c r="K74" s="39"/>
      <c r="L74" s="39"/>
      <c r="M74" s="39"/>
      <c r="N74" s="39"/>
      <c r="O74" s="39"/>
      <c r="P74" s="39"/>
      <c r="AI74" s="89" t="s">
        <v>146</v>
      </c>
      <c r="AL74" s="94">
        <v>0.475</v>
      </c>
      <c r="AM74" s="94">
        <v>0.4551456205128206</v>
      </c>
    </row>
    <row r="75" spans="1:39" ht="12.75">
      <c r="A75" s="36" t="s">
        <v>9</v>
      </c>
      <c r="B75" s="36" t="s">
        <v>70</v>
      </c>
      <c r="C75" s="36" t="s">
        <v>71</v>
      </c>
      <c r="D75" s="36" t="s">
        <v>72</v>
      </c>
      <c r="E75" s="36"/>
      <c r="F75" s="36"/>
      <c r="G75" s="36"/>
      <c r="H75" s="36"/>
      <c r="I75" s="57"/>
      <c r="K75" s="57"/>
      <c r="L75" s="57"/>
      <c r="M75" s="57"/>
      <c r="N75" s="57"/>
      <c r="O75" s="57"/>
      <c r="P75" s="57"/>
      <c r="AI75" s="89" t="s">
        <v>147</v>
      </c>
      <c r="AL75" s="94">
        <v>0.855</v>
      </c>
      <c r="AM75" s="94">
        <v>0.09999999999999998</v>
      </c>
    </row>
    <row r="76" spans="1:39" ht="12.75">
      <c r="A76" s="35" t="s">
        <v>8</v>
      </c>
      <c r="B76" s="35" t="s">
        <v>73</v>
      </c>
      <c r="C76" s="35" t="s">
        <v>74</v>
      </c>
      <c r="D76" s="35" t="s">
        <v>75</v>
      </c>
      <c r="E76" s="40"/>
      <c r="F76" s="40"/>
      <c r="G76" s="40"/>
      <c r="H76" s="40"/>
      <c r="I76" s="38"/>
      <c r="K76" s="39"/>
      <c r="L76" s="39"/>
      <c r="M76" s="39"/>
      <c r="N76" s="39"/>
      <c r="O76" s="39"/>
      <c r="P76" s="39"/>
      <c r="AI76" s="89" t="s">
        <v>148</v>
      </c>
      <c r="AL76" s="94">
        <v>0.475</v>
      </c>
      <c r="AM76" s="94">
        <v>0</v>
      </c>
    </row>
    <row r="77" spans="1:39" ht="12.75">
      <c r="A77" s="35" t="s">
        <v>7</v>
      </c>
      <c r="B77" s="35" t="s">
        <v>76</v>
      </c>
      <c r="C77" s="35" t="s">
        <v>77</v>
      </c>
      <c r="D77" s="35" t="s">
        <v>75</v>
      </c>
      <c r="E77" s="40"/>
      <c r="F77" s="40"/>
      <c r="G77" s="40"/>
      <c r="H77" s="40"/>
      <c r="I77" s="38"/>
      <c r="K77" s="39"/>
      <c r="L77" s="39"/>
      <c r="M77" s="39"/>
      <c r="N77" s="39"/>
      <c r="O77" s="39"/>
      <c r="P77" s="39"/>
      <c r="AI77" s="89" t="s">
        <v>196</v>
      </c>
      <c r="AL77" s="94">
        <v>0.855</v>
      </c>
      <c r="AM77" s="94">
        <v>0.09999999999999998</v>
      </c>
    </row>
    <row r="78" spans="1:39" ht="12.75">
      <c r="A78" s="36" t="s">
        <v>78</v>
      </c>
      <c r="B78" s="36"/>
      <c r="C78" s="36"/>
      <c r="D78" s="36" t="s">
        <v>81</v>
      </c>
      <c r="E78" s="36"/>
      <c r="F78" s="36"/>
      <c r="G78" s="36"/>
      <c r="H78" s="36"/>
      <c r="I78" s="57"/>
      <c r="K78" s="57"/>
      <c r="L78" s="57"/>
      <c r="M78" s="57"/>
      <c r="N78" s="57"/>
      <c r="O78" s="57"/>
      <c r="P78" s="57"/>
      <c r="AI78" s="89" t="s">
        <v>149</v>
      </c>
      <c r="AL78" s="94">
        <v>0.76</v>
      </c>
      <c r="AM78" s="94">
        <v>0.09999999999999998</v>
      </c>
    </row>
    <row r="79" spans="1:39" ht="12.75">
      <c r="A79" s="36" t="s">
        <v>79</v>
      </c>
      <c r="B79" s="36"/>
      <c r="C79" s="36"/>
      <c r="D79" s="36" t="s">
        <v>80</v>
      </c>
      <c r="E79" s="36"/>
      <c r="F79" s="36"/>
      <c r="G79" s="36"/>
      <c r="H79" s="36"/>
      <c r="I79" s="57"/>
      <c r="K79" s="57"/>
      <c r="L79" s="57"/>
      <c r="M79" s="57"/>
      <c r="N79" s="57"/>
      <c r="O79" s="57"/>
      <c r="P79" s="57"/>
      <c r="AI79" s="89" t="s">
        <v>150</v>
      </c>
      <c r="AL79" s="94">
        <v>0.475</v>
      </c>
      <c r="AM79" s="94">
        <v>0</v>
      </c>
    </row>
    <row r="80" spans="9:39" ht="12.75">
      <c r="I80" s="38"/>
      <c r="K80" s="39"/>
      <c r="L80" s="39"/>
      <c r="M80" s="39"/>
      <c r="N80" s="39"/>
      <c r="O80" s="39"/>
      <c r="P80" s="39"/>
      <c r="AI80" s="89" t="s">
        <v>151</v>
      </c>
      <c r="AL80" s="94">
        <v>0.095</v>
      </c>
      <c r="AM80" s="94">
        <v>0.43738777120772954</v>
      </c>
    </row>
    <row r="81" spans="1:39" ht="12.75">
      <c r="A81" s="28" t="s">
        <v>96</v>
      </c>
      <c r="I81" s="38"/>
      <c r="K81" s="39"/>
      <c r="L81" s="39"/>
      <c r="M81" s="39"/>
      <c r="N81" s="39"/>
      <c r="O81" s="39"/>
      <c r="P81" s="39"/>
      <c r="AI81" s="89" t="s">
        <v>152</v>
      </c>
      <c r="AL81" s="94">
        <v>0</v>
      </c>
      <c r="AM81" s="94">
        <v>0</v>
      </c>
    </row>
    <row r="82" spans="1:39" ht="12.75">
      <c r="A82" s="34" t="s">
        <v>10</v>
      </c>
      <c r="B82" s="34" t="s">
        <v>27</v>
      </c>
      <c r="C82" s="34"/>
      <c r="D82" s="34"/>
      <c r="E82" s="34"/>
      <c r="F82" s="34"/>
      <c r="G82" s="34"/>
      <c r="H82" s="34"/>
      <c r="I82" s="44"/>
      <c r="K82" s="44"/>
      <c r="L82" s="44"/>
      <c r="M82" s="44"/>
      <c r="N82" s="44"/>
      <c r="O82" s="44"/>
      <c r="P82" s="44"/>
      <c r="AI82" s="89" t="s">
        <v>153</v>
      </c>
      <c r="AL82" s="94">
        <v>0.475</v>
      </c>
      <c r="AM82" s="94">
        <v>0</v>
      </c>
    </row>
    <row r="83" spans="1:39" ht="12.75">
      <c r="A83" s="36" t="s">
        <v>3</v>
      </c>
      <c r="B83" s="36" t="s">
        <v>26</v>
      </c>
      <c r="C83" s="36"/>
      <c r="D83" s="36"/>
      <c r="E83" s="36"/>
      <c r="F83" s="36"/>
      <c r="G83" s="36"/>
      <c r="H83" s="36"/>
      <c r="I83" s="44"/>
      <c r="K83" s="44"/>
      <c r="L83" s="44"/>
      <c r="M83" s="44"/>
      <c r="N83" s="44"/>
      <c r="O83" s="44"/>
      <c r="P83" s="44"/>
      <c r="AI83" s="89" t="s">
        <v>154</v>
      </c>
      <c r="AL83" s="94">
        <v>0</v>
      </c>
      <c r="AM83" s="94">
        <v>0</v>
      </c>
    </row>
    <row r="84" spans="1:39" ht="12.75">
      <c r="A84" s="34" t="s">
        <v>21</v>
      </c>
      <c r="B84" s="34" t="s">
        <v>25</v>
      </c>
      <c r="C84" s="34"/>
      <c r="D84" s="34"/>
      <c r="E84" s="34"/>
      <c r="F84" s="34"/>
      <c r="G84" s="34"/>
      <c r="H84" s="34"/>
      <c r="I84" s="44"/>
      <c r="K84" s="44"/>
      <c r="L84" s="44"/>
      <c r="M84" s="44"/>
      <c r="N84" s="44"/>
      <c r="O84" s="44"/>
      <c r="P84" s="44"/>
      <c r="AI84" s="89" t="s">
        <v>155</v>
      </c>
      <c r="AL84" s="94">
        <v>0.475</v>
      </c>
      <c r="AM84" s="94">
        <v>0</v>
      </c>
    </row>
    <row r="85" spans="1:39" ht="12.75">
      <c r="A85" s="57" t="s">
        <v>132</v>
      </c>
      <c r="B85" s="57"/>
      <c r="C85" s="57"/>
      <c r="D85" s="57"/>
      <c r="E85" s="57"/>
      <c r="F85" s="57"/>
      <c r="G85" s="57"/>
      <c r="H85" s="57"/>
      <c r="I85" s="57"/>
      <c r="K85" s="57"/>
      <c r="L85" s="57"/>
      <c r="M85" s="57"/>
      <c r="N85" s="57"/>
      <c r="O85" s="57"/>
      <c r="P85" s="57"/>
      <c r="AI85" s="89" t="s">
        <v>156</v>
      </c>
      <c r="AL85" s="94">
        <v>0</v>
      </c>
      <c r="AM85" s="94">
        <v>0.09999999999999998</v>
      </c>
    </row>
    <row r="86" spans="1:39" ht="12.75">
      <c r="A86" s="13" t="s">
        <v>93</v>
      </c>
      <c r="B86" s="13"/>
      <c r="C86" s="13"/>
      <c r="D86" s="13"/>
      <c r="E86" s="13"/>
      <c r="F86" s="13"/>
      <c r="G86" s="13"/>
      <c r="H86" s="13"/>
      <c r="I86" s="13"/>
      <c r="AI86" s="89" t="s">
        <v>157</v>
      </c>
      <c r="AL86" s="94">
        <v>0</v>
      </c>
      <c r="AM86" s="94">
        <v>0.22587587312500002</v>
      </c>
    </row>
    <row r="87" spans="1:39" ht="15">
      <c r="A87" s="13" t="s">
        <v>90</v>
      </c>
      <c r="B87" s="13"/>
      <c r="C87" s="13"/>
      <c r="D87" s="13"/>
      <c r="E87" s="13"/>
      <c r="F87" s="13"/>
      <c r="G87" s="13"/>
      <c r="H87" s="13"/>
      <c r="I87" s="13"/>
      <c r="AI87" s="89" t="s">
        <v>158</v>
      </c>
      <c r="AL87" s="94">
        <v>0.285</v>
      </c>
      <c r="AM87" s="94">
        <v>0.27746457625</v>
      </c>
    </row>
    <row r="88" spans="1:39" ht="15">
      <c r="A88" s="13" t="s">
        <v>91</v>
      </c>
      <c r="B88" s="13"/>
      <c r="C88" s="13"/>
      <c r="D88" s="13"/>
      <c r="E88" s="13"/>
      <c r="F88" s="13"/>
      <c r="G88" s="13"/>
      <c r="H88" s="13"/>
      <c r="I88" s="13"/>
      <c r="AI88" s="89" t="s">
        <v>234</v>
      </c>
      <c r="AL88" s="94">
        <v>0.61</v>
      </c>
      <c r="AM88" s="94">
        <v>0</v>
      </c>
    </row>
    <row r="89" spans="1:9" ht="12.75">
      <c r="A89" s="13" t="s">
        <v>92</v>
      </c>
      <c r="B89" s="13"/>
      <c r="C89" s="13"/>
      <c r="D89" s="13"/>
      <c r="E89" s="13"/>
      <c r="F89" s="13"/>
      <c r="G89" s="13"/>
      <c r="H89" s="13"/>
      <c r="I89" s="13"/>
    </row>
  </sheetData>
  <sheetProtection/>
  <mergeCells count="12">
    <mergeCell ref="AO12:BF13"/>
    <mergeCell ref="F4:I6"/>
    <mergeCell ref="H8:I8"/>
    <mergeCell ref="B8:D8"/>
    <mergeCell ref="B9:D9"/>
    <mergeCell ref="BO12:BP13"/>
    <mergeCell ref="X12:AE13"/>
    <mergeCell ref="AI12:AN13"/>
    <mergeCell ref="AF12:AH13"/>
    <mergeCell ref="F8:G8"/>
    <mergeCell ref="A12:W13"/>
    <mergeCell ref="BG12:BN13"/>
  </mergeCells>
  <dataValidations count="84">
    <dataValidation type="list" showInputMessage="1" sqref="S15">
      <formula1>INDIRECT("_"&amp;$R$15)</formula1>
    </dataValidation>
    <dataValidation type="list" showInputMessage="1" sqref="T15">
      <formula1>INDIRECT("__"&amp;$R$15)</formula1>
    </dataValidation>
    <dataValidation type="list" showInputMessage="1" sqref="S16">
      <formula1>INDIRECT("_"&amp;$R$16)</formula1>
    </dataValidation>
    <dataValidation type="list" showInputMessage="1" sqref="T16">
      <formula1>INDIRECT("__"&amp;$R$16)</formula1>
    </dataValidation>
    <dataValidation type="list" showInputMessage="1" sqref="S17">
      <formula1>INDIRECT("_"&amp;$R$17)</formula1>
    </dataValidation>
    <dataValidation type="list" showInputMessage="1" sqref="T17">
      <formula1>INDIRECT("__"&amp;$R$17)</formula1>
    </dataValidation>
    <dataValidation type="list" showInputMessage="1" sqref="S18">
      <formula1>INDIRECT("_"&amp;$R$18)</formula1>
    </dataValidation>
    <dataValidation type="list" showInputMessage="1" sqref="T18">
      <formula1>INDIRECT("__"&amp;$R$18)</formula1>
    </dataValidation>
    <dataValidation type="list" showInputMessage="1" sqref="S19">
      <formula1>INDIRECT("_"&amp;$R$19)</formula1>
    </dataValidation>
    <dataValidation type="list" showInputMessage="1" sqref="T19">
      <formula1>INDIRECT("__"&amp;$R$19)</formula1>
    </dataValidation>
    <dataValidation type="list" showInputMessage="1" sqref="S20">
      <formula1>INDIRECT("_"&amp;$R$20)</formula1>
    </dataValidation>
    <dataValidation type="list" showInputMessage="1" sqref="T20">
      <formula1>INDIRECT("__"&amp;$R$20)</formula1>
    </dataValidation>
    <dataValidation type="list" showInputMessage="1" sqref="S21">
      <formula1>INDIRECT("_"&amp;$R$21)</formula1>
    </dataValidation>
    <dataValidation type="list" showInputMessage="1" sqref="T21">
      <formula1>INDIRECT("__"&amp;$R$21)</formula1>
    </dataValidation>
    <dataValidation type="list" showInputMessage="1" sqref="S22">
      <formula1>INDIRECT("_"&amp;$R$22)</formula1>
    </dataValidation>
    <dataValidation type="list" showInputMessage="1" sqref="T22">
      <formula1>INDIRECT("__"&amp;$R$22)</formula1>
    </dataValidation>
    <dataValidation type="list" showInputMessage="1" sqref="S23">
      <formula1>INDIRECT("_"&amp;$R$23)</formula1>
    </dataValidation>
    <dataValidation type="list" showInputMessage="1" sqref="T23">
      <formula1>INDIRECT("__"&amp;$R$23)</formula1>
    </dataValidation>
    <dataValidation type="list" showInputMessage="1" sqref="S24">
      <formula1>INDIRECT("_"&amp;$R$24)</formula1>
    </dataValidation>
    <dataValidation type="list" showInputMessage="1" sqref="T24">
      <formula1>INDIRECT("__"&amp;$R$24)</formula1>
    </dataValidation>
    <dataValidation type="list" showInputMessage="1" sqref="S25">
      <formula1>INDIRECT("_"&amp;$R$25)</formula1>
    </dataValidation>
    <dataValidation type="list" showInputMessage="1" sqref="T25">
      <formula1>INDIRECT("__"&amp;$R$25)</formula1>
    </dataValidation>
    <dataValidation type="list" showInputMessage="1" sqref="S37">
      <formula1>INDIRECT("_"&amp;$R$37)</formula1>
    </dataValidation>
    <dataValidation type="list" showInputMessage="1" sqref="T37">
      <formula1>INDIRECT("__"&amp;$R$37)</formula1>
    </dataValidation>
    <dataValidation type="list" showInputMessage="1" sqref="S38">
      <formula1>INDIRECT("_"&amp;$R$38)</formula1>
    </dataValidation>
    <dataValidation type="list" showInputMessage="1" sqref="T38">
      <formula1>INDIRECT("__"&amp;$R$38)</formula1>
    </dataValidation>
    <dataValidation type="list" showInputMessage="1" sqref="S39">
      <formula1>INDIRECT("_"&amp;$R$39)</formula1>
    </dataValidation>
    <dataValidation type="list" showInputMessage="1" sqref="T39">
      <formula1>INDIRECT("__"&amp;$R$39)</formula1>
    </dataValidation>
    <dataValidation type="list" showInputMessage="1" sqref="S40">
      <formula1>INDIRECT("_"&amp;$R$40)</formula1>
    </dataValidation>
    <dataValidation type="list" showInputMessage="1" sqref="T40">
      <formula1>INDIRECT("__"&amp;$R$40)</formula1>
    </dataValidation>
    <dataValidation type="list" showInputMessage="1" sqref="S41">
      <formula1>INDIRECT("_"&amp;$R$41)</formula1>
    </dataValidation>
    <dataValidation type="list" showInputMessage="1" sqref="T41">
      <formula1>INDIRECT("__"&amp;$R$41)</formula1>
    </dataValidation>
    <dataValidation type="list" showInputMessage="1" sqref="S42">
      <formula1>INDIRECT("_"&amp;$R$42)</formula1>
    </dataValidation>
    <dataValidation type="list" showInputMessage="1" sqref="T42">
      <formula1>INDIRECT("__"&amp;$R$42)</formula1>
    </dataValidation>
    <dataValidation type="list" showInputMessage="1" sqref="S43">
      <formula1>INDIRECT("_"&amp;$R$43)</formula1>
    </dataValidation>
    <dataValidation type="list" showInputMessage="1" sqref="T43">
      <formula1>INDIRECT("__"&amp;$R$43)</formula1>
    </dataValidation>
    <dataValidation type="list" showInputMessage="1" sqref="S44">
      <formula1>INDIRECT("_"&amp;$R$44)</formula1>
    </dataValidation>
    <dataValidation type="list" showInputMessage="1" sqref="T44">
      <formula1>INDIRECT("__"&amp;$R$44)</formula1>
    </dataValidation>
    <dataValidation type="list" showInputMessage="1" sqref="S45">
      <formula1>INDIRECT("_"&amp;$R$45)</formula1>
    </dataValidation>
    <dataValidation type="list" showInputMessage="1" sqref="T45">
      <formula1>INDIRECT("__"&amp;$R$45)</formula1>
    </dataValidation>
    <dataValidation type="list" showInputMessage="1" sqref="S46">
      <formula1>INDIRECT("_"&amp;$R$46)</formula1>
    </dataValidation>
    <dataValidation type="list" showInputMessage="1" sqref="T46">
      <formula1>INDIRECT("__"&amp;$R$46)</formula1>
    </dataValidation>
    <dataValidation type="list" showInputMessage="1" sqref="S47">
      <formula1>INDIRECT("_"&amp;$R$47)</formula1>
    </dataValidation>
    <dataValidation type="list" showInputMessage="1" sqref="T47">
      <formula1>INDIRECT("__"&amp;$R$47)</formula1>
    </dataValidation>
    <dataValidation type="list" showInputMessage="1" sqref="S49">
      <formula1>INDIRECT("_"&amp;$R$49)</formula1>
    </dataValidation>
    <dataValidation type="list" showInputMessage="1" sqref="T49">
      <formula1>INDIRECT("__"&amp;$R$49)</formula1>
    </dataValidation>
    <dataValidation type="list" showInputMessage="1" sqref="S50">
      <formula1>INDIRECT("_"&amp;$R$50)</formula1>
    </dataValidation>
    <dataValidation type="list" showInputMessage="1" sqref="T50">
      <formula1>INDIRECT("__"&amp;$R$50)</formula1>
    </dataValidation>
    <dataValidation type="list" showInputMessage="1" sqref="S51">
      <formula1>INDIRECT("_"&amp;$R$51)</formula1>
    </dataValidation>
    <dataValidation type="list" showInputMessage="1" sqref="T51">
      <formula1>INDIRECT("__"&amp;$R$51)</formula1>
    </dataValidation>
    <dataValidation type="list" showInputMessage="1" sqref="S52">
      <formula1>INDIRECT("_"&amp;$R$52)</formula1>
    </dataValidation>
    <dataValidation type="list" showInputMessage="1" sqref="T52">
      <formula1>INDIRECT("__"&amp;$R$52)</formula1>
    </dataValidation>
    <dataValidation type="list" showInputMessage="1" sqref="S53">
      <formula1>INDIRECT("_"&amp;$R$53)</formula1>
    </dataValidation>
    <dataValidation type="list" showInputMessage="1" sqref="T53">
      <formula1>INDIRECT("__"&amp;$R$53)</formula1>
    </dataValidation>
    <dataValidation type="list" showInputMessage="1" sqref="S54">
      <formula1>INDIRECT("_"&amp;$R$54)</formula1>
    </dataValidation>
    <dataValidation type="list" showInputMessage="1" sqref="T54">
      <formula1>INDIRECT("__"&amp;$R$54)</formula1>
    </dataValidation>
    <dataValidation type="list" showInputMessage="1" sqref="S48">
      <formula1>INDIRECT("_"&amp;$R$48)</formula1>
    </dataValidation>
    <dataValidation type="list" showInputMessage="1" sqref="T48">
      <formula1>INDIRECT("__"&amp;$R$48)</formula1>
    </dataValidation>
    <dataValidation type="list" allowBlank="1" showInputMessage="1" sqref="J15:J54">
      <formula1>Nutzungsbereiche</formula1>
    </dataValidation>
    <dataValidation type="list" allowBlank="1" showInputMessage="1" sqref="I15:I54">
      <formula1>"ja,nein"</formula1>
    </dataValidation>
    <dataValidation type="list" allowBlank="1" showInputMessage="1" sqref="R15:R54">
      <formula1>Lampentyp</formula1>
    </dataValidation>
    <dataValidation type="list" showInputMessage="1" sqref="S26">
      <formula1>INDIRECT("_"&amp;$R$26)</formula1>
    </dataValidation>
    <dataValidation type="list" showInputMessage="1" sqref="T26">
      <formula1>INDIRECT("__"&amp;$R$26)</formula1>
    </dataValidation>
    <dataValidation type="list" showInputMessage="1" sqref="S27">
      <formula1>INDIRECT("_"&amp;$R$27)</formula1>
    </dataValidation>
    <dataValidation type="list" showInputMessage="1" sqref="T27">
      <formula1>INDIRECT("__"&amp;$R$27)</formula1>
    </dataValidation>
    <dataValidation type="list" showInputMessage="1" sqref="S28">
      <formula1>INDIRECT("_"&amp;$R$28)</formula1>
    </dataValidation>
    <dataValidation type="list" showInputMessage="1" sqref="T28">
      <formula1>INDIRECT("__"&amp;$R$28)</formula1>
    </dataValidation>
    <dataValidation type="list" showInputMessage="1" sqref="S29">
      <formula1>INDIRECT("_"&amp;$R$29)</formula1>
    </dataValidation>
    <dataValidation type="list" showInputMessage="1" sqref="T29">
      <formula1>INDIRECT("__"&amp;$R$29)</formula1>
    </dataValidation>
    <dataValidation type="list" showInputMessage="1" sqref="S30">
      <formula1>INDIRECT("_"&amp;$R$30)</formula1>
    </dataValidation>
    <dataValidation type="list" showInputMessage="1" sqref="T30">
      <formula1>INDIRECT("__"&amp;$R$30)</formula1>
    </dataValidation>
    <dataValidation type="list" showInputMessage="1" sqref="S31">
      <formula1>INDIRECT("_"&amp;$R$31)</formula1>
    </dataValidation>
    <dataValidation type="list" showInputMessage="1" sqref="T31">
      <formula1>INDIRECT("__"&amp;$R$31)</formula1>
    </dataValidation>
    <dataValidation type="list" showInputMessage="1" sqref="S32">
      <formula1>INDIRECT("_"&amp;$R$32)</formula1>
    </dataValidation>
    <dataValidation type="list" showInputMessage="1" sqref="T32">
      <formula1>INDIRECT("__"&amp;$R$32)</formula1>
    </dataValidation>
    <dataValidation type="list" showInputMessage="1" sqref="S33">
      <formula1>INDIRECT("_"&amp;$R$33)</formula1>
    </dataValidation>
    <dataValidation type="list" showInputMessage="1" sqref="T33">
      <formula1>INDIRECT("__"&amp;$R$33)</formula1>
    </dataValidation>
    <dataValidation type="list" showInputMessage="1" sqref="S34">
      <formula1>INDIRECT("_"&amp;$R$34)</formula1>
    </dataValidation>
    <dataValidation type="list" showInputMessage="1" sqref="T34">
      <formula1>INDIRECT("__"&amp;$R$34)</formula1>
    </dataValidation>
    <dataValidation type="list" showInputMessage="1" sqref="S35">
      <formula1>INDIRECT("_"&amp;$R$35)</formula1>
    </dataValidation>
    <dataValidation type="list" showInputMessage="1" sqref="T35">
      <formula1>INDIRECT("__"&amp;$R$35)</formula1>
    </dataValidation>
    <dataValidation type="list" showInputMessage="1" sqref="S36">
      <formula1>INDIRECT("_"&amp;$R$36)</formula1>
    </dataValidation>
    <dataValidation type="list" showInputMessage="1" sqref="T36">
      <formula1>INDIRECT("__"&amp;$R$36)</formula1>
    </dataValidation>
    <dataValidation type="list" allowBlank="1" showInputMessage="1" showErrorMessage="1" sqref="H8:I8">
      <formula1>"Innen- und Hallenbeleuchtung, KSJSS-Beleuchtung"</formula1>
    </dataValidation>
  </dataValidations>
  <printOptions/>
  <pageMargins left="0.5118110236220472" right="0.2362204724409449" top="0.2755905511811024" bottom="0.2362204724409449" header="0.1968503937007874" footer="0.1968503937007874"/>
  <pageSetup fitToHeight="0" fitToWidth="3" horizontalDpi="600" verticalDpi="600" orientation="landscape" paperSize="8" scale="54" r:id="rId2"/>
  <headerFooter>
    <oddHeader>&amp;R&amp;D</oddHeader>
    <oddFooter>&amp;RSeite &amp;P von &amp;N</oddFooter>
  </headerFooter>
  <rowBreaks count="1" manualBreakCount="1">
    <brk id="55" max="67" man="1"/>
  </rowBreaks>
  <colBreaks count="2" manualBreakCount="2">
    <brk id="23" max="72" man="1"/>
    <brk id="42" max="88" man="1"/>
  </colBreaks>
  <ignoredErrors>
    <ignoredError sqref="Y52:Y54 Y45" numberStoredAsText="1"/>
    <ignoredError sqref="AQ54:AS54 AQ45:AS45 AA18:AA19 AQ24:AS24 AQ20:AS20 AQ21:AS21 AQ22:AS22 AQ23:AS23 AQ52:AS52 AQ53:AS5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O140"/>
  <sheetViews>
    <sheetView zoomScale="85" zoomScaleNormal="85" zoomScalePageLayoutView="0" workbookViewId="0" topLeftCell="E1">
      <selection activeCell="AC21" sqref="AC21"/>
    </sheetView>
  </sheetViews>
  <sheetFormatPr defaultColWidth="10.7109375" defaultRowHeight="15"/>
  <cols>
    <col min="1" max="1" width="7.421875" style="6" customWidth="1"/>
    <col min="2" max="2" width="8.421875" style="6" customWidth="1"/>
    <col min="3" max="3" width="12.8515625" style="6" customWidth="1"/>
    <col min="4" max="4" width="17.140625" style="6" bestFit="1" customWidth="1"/>
    <col min="5" max="5" width="25.140625" style="6" bestFit="1" customWidth="1"/>
    <col min="6" max="6" width="7.00390625" style="6" customWidth="1"/>
    <col min="7" max="7" width="10.7109375" style="5" customWidth="1"/>
    <col min="8" max="28" width="10.7109375" style="4" customWidth="1"/>
    <col min="29" max="29" width="39.421875" style="4" customWidth="1"/>
    <col min="30" max="16384" width="10.7109375" style="4" customWidth="1"/>
  </cols>
  <sheetData>
    <row r="1" spans="1:32" ht="15">
      <c r="A1" s="12" t="s">
        <v>30</v>
      </c>
      <c r="B1" s="12" t="s">
        <v>29</v>
      </c>
      <c r="C1" s="12" t="s">
        <v>28</v>
      </c>
      <c r="D1" s="12"/>
      <c r="E1" s="12" t="s">
        <v>31</v>
      </c>
      <c r="F1" s="11"/>
      <c r="G1" s="34" t="s">
        <v>24</v>
      </c>
      <c r="I1" s="45" t="s">
        <v>22</v>
      </c>
      <c r="J1" s="45" t="s">
        <v>24</v>
      </c>
      <c r="K1" s="43" t="s">
        <v>20</v>
      </c>
      <c r="L1" s="43" t="s">
        <v>19</v>
      </c>
      <c r="M1" s="41" t="s">
        <v>17</v>
      </c>
      <c r="N1" s="41" t="s">
        <v>16</v>
      </c>
      <c r="O1" s="41" t="s">
        <v>15</v>
      </c>
      <c r="P1" s="41" t="s">
        <v>14</v>
      </c>
      <c r="Q1" s="41" t="s">
        <v>13</v>
      </c>
      <c r="R1" s="41" t="s">
        <v>12</v>
      </c>
      <c r="S1" s="41" t="s">
        <v>11</v>
      </c>
      <c r="T1" s="41" t="s">
        <v>9</v>
      </c>
      <c r="U1" s="41" t="s">
        <v>8</v>
      </c>
      <c r="V1" s="41" t="s">
        <v>7</v>
      </c>
      <c r="W1" s="41" t="s">
        <v>23</v>
      </c>
      <c r="X1" s="41" t="s">
        <v>18</v>
      </c>
      <c r="Y1" s="41" t="s">
        <v>78</v>
      </c>
      <c r="Z1" s="41" t="s">
        <v>79</v>
      </c>
      <c r="AC1" s="85" t="s">
        <v>135</v>
      </c>
      <c r="AD1" s="86">
        <v>500</v>
      </c>
      <c r="AE1" s="87">
        <v>0.8</v>
      </c>
      <c r="AF1" s="88">
        <f>2543+207</f>
        <v>2750</v>
      </c>
    </row>
    <row r="2" spans="1:32" ht="15">
      <c r="A2" s="8" t="s">
        <v>24</v>
      </c>
      <c r="B2" s="8" t="s">
        <v>10</v>
      </c>
      <c r="C2" s="8">
        <v>14</v>
      </c>
      <c r="D2" s="8" t="str">
        <f>A2&amp;B2&amp;C2</f>
        <v>T5EVG14</v>
      </c>
      <c r="E2" s="8">
        <v>16</v>
      </c>
      <c r="F2" s="8">
        <v>20000</v>
      </c>
      <c r="G2" s="34" t="s">
        <v>22</v>
      </c>
      <c r="I2" s="3">
        <v>18</v>
      </c>
      <c r="J2" s="3">
        <v>14</v>
      </c>
      <c r="K2" s="3">
        <v>20</v>
      </c>
      <c r="L2" s="3">
        <v>5</v>
      </c>
      <c r="M2" s="2">
        <v>10</v>
      </c>
      <c r="N2" s="2">
        <v>13</v>
      </c>
      <c r="O2" s="2">
        <v>18</v>
      </c>
      <c r="P2" s="2">
        <v>18</v>
      </c>
      <c r="Q2" s="2">
        <v>70</v>
      </c>
      <c r="R2" s="2">
        <v>35</v>
      </c>
      <c r="S2" s="2">
        <v>70</v>
      </c>
      <c r="T2" s="2">
        <v>50</v>
      </c>
      <c r="U2" s="2">
        <v>50</v>
      </c>
      <c r="V2" s="2">
        <v>50</v>
      </c>
      <c r="W2" s="2">
        <v>22</v>
      </c>
      <c r="X2" s="2">
        <v>5</v>
      </c>
      <c r="AC2" s="85" t="s">
        <v>136</v>
      </c>
      <c r="AD2" s="86">
        <v>500</v>
      </c>
      <c r="AE2" s="87">
        <v>0.8</v>
      </c>
      <c r="AF2" s="88">
        <v>2750</v>
      </c>
    </row>
    <row r="3" spans="1:32" ht="15">
      <c r="A3" s="8" t="s">
        <v>24</v>
      </c>
      <c r="B3" s="8" t="s">
        <v>10</v>
      </c>
      <c r="C3" s="8">
        <v>21</v>
      </c>
      <c r="D3" s="8" t="str">
        <f>A3&amp;B3&amp;C3</f>
        <v>T5EVG21</v>
      </c>
      <c r="E3" s="8">
        <v>24</v>
      </c>
      <c r="F3" s="8">
        <v>20000</v>
      </c>
      <c r="G3" s="34" t="s">
        <v>20</v>
      </c>
      <c r="I3" s="3">
        <v>36</v>
      </c>
      <c r="J3" s="3">
        <v>21</v>
      </c>
      <c r="K3" s="3">
        <v>40</v>
      </c>
      <c r="L3" s="3">
        <v>7</v>
      </c>
      <c r="M3" s="2">
        <v>13</v>
      </c>
      <c r="N3" s="2">
        <v>18</v>
      </c>
      <c r="O3" s="2">
        <v>24</v>
      </c>
      <c r="P3" s="2">
        <v>24</v>
      </c>
      <c r="Q3" s="2">
        <v>73</v>
      </c>
      <c r="R3" s="2">
        <v>70</v>
      </c>
      <c r="S3" s="2">
        <v>71</v>
      </c>
      <c r="T3" s="2">
        <v>80</v>
      </c>
      <c r="U3" s="2">
        <v>70</v>
      </c>
      <c r="V3" s="2">
        <v>70</v>
      </c>
      <c r="W3" s="2">
        <v>40</v>
      </c>
      <c r="X3" s="2">
        <v>7</v>
      </c>
      <c r="AC3" s="85" t="s">
        <v>137</v>
      </c>
      <c r="AD3" s="86">
        <v>500</v>
      </c>
      <c r="AE3" s="87">
        <v>0.8</v>
      </c>
      <c r="AF3" s="88">
        <f>2543+207</f>
        <v>2750</v>
      </c>
    </row>
    <row r="4" spans="1:32" ht="15">
      <c r="A4" s="8" t="s">
        <v>24</v>
      </c>
      <c r="B4" s="8" t="s">
        <v>10</v>
      </c>
      <c r="C4" s="8">
        <v>24</v>
      </c>
      <c r="D4" s="8" t="str">
        <f>A4&amp;B4&amp;C4</f>
        <v>T5EVG24</v>
      </c>
      <c r="E4" s="8">
        <v>26</v>
      </c>
      <c r="F4" s="8">
        <v>20000</v>
      </c>
      <c r="G4" s="35" t="s">
        <v>83</v>
      </c>
      <c r="I4" s="3">
        <v>58</v>
      </c>
      <c r="J4" s="3">
        <v>24</v>
      </c>
      <c r="K4" s="3">
        <v>65</v>
      </c>
      <c r="L4" s="3">
        <v>9</v>
      </c>
      <c r="M4" s="2">
        <v>18</v>
      </c>
      <c r="N4" s="2">
        <v>26</v>
      </c>
      <c r="O4" s="2">
        <v>36</v>
      </c>
      <c r="P4" s="2">
        <v>36</v>
      </c>
      <c r="Q4" s="2">
        <v>100</v>
      </c>
      <c r="R4" s="2">
        <v>75</v>
      </c>
      <c r="S4" s="2">
        <v>75</v>
      </c>
      <c r="T4" s="2">
        <v>125</v>
      </c>
      <c r="U4" s="2">
        <v>100</v>
      </c>
      <c r="V4" s="2">
        <v>100</v>
      </c>
      <c r="W4" s="2">
        <v>55</v>
      </c>
      <c r="X4" s="2">
        <v>9</v>
      </c>
      <c r="AC4" s="85" t="s">
        <v>138</v>
      </c>
      <c r="AD4" s="86">
        <v>500</v>
      </c>
      <c r="AE4" s="87">
        <v>0.8</v>
      </c>
      <c r="AF4" s="88">
        <f>2543+207</f>
        <v>2750</v>
      </c>
    </row>
    <row r="5" spans="1:32" ht="15">
      <c r="A5" s="8" t="s">
        <v>24</v>
      </c>
      <c r="B5" s="8" t="s">
        <v>10</v>
      </c>
      <c r="C5" s="8">
        <v>28</v>
      </c>
      <c r="D5" s="8" t="str">
        <f>A5&amp;B5&amp;C5</f>
        <v>T5EVG28</v>
      </c>
      <c r="E5" s="8">
        <v>31</v>
      </c>
      <c r="F5" s="8">
        <v>20000</v>
      </c>
      <c r="G5" s="36" t="s">
        <v>84</v>
      </c>
      <c r="I5" s="3"/>
      <c r="J5" s="3">
        <v>28</v>
      </c>
      <c r="K5" s="3"/>
      <c r="L5" s="3">
        <v>11</v>
      </c>
      <c r="M5" s="2">
        <v>26</v>
      </c>
      <c r="N5" s="2">
        <v>32</v>
      </c>
      <c r="O5" s="2">
        <v>40</v>
      </c>
      <c r="P5" s="2"/>
      <c r="Q5" s="2">
        <v>150</v>
      </c>
      <c r="R5" s="2">
        <v>150</v>
      </c>
      <c r="S5" s="2">
        <v>147</v>
      </c>
      <c r="T5" s="2">
        <v>250</v>
      </c>
      <c r="U5" s="2">
        <v>150</v>
      </c>
      <c r="V5" s="2">
        <v>150</v>
      </c>
      <c r="W5" s="2">
        <v>60</v>
      </c>
      <c r="X5" s="2">
        <v>11</v>
      </c>
      <c r="AC5" s="85" t="s">
        <v>139</v>
      </c>
      <c r="AD5" s="86">
        <v>300</v>
      </c>
      <c r="AE5" s="87">
        <v>0.8</v>
      </c>
      <c r="AF5" s="88">
        <f>1398+2</f>
        <v>1400</v>
      </c>
    </row>
    <row r="6" spans="1:32" ht="15">
      <c r="A6" s="8" t="s">
        <v>24</v>
      </c>
      <c r="B6" s="8" t="s">
        <v>10</v>
      </c>
      <c r="C6" s="8">
        <v>35</v>
      </c>
      <c r="D6" s="8" t="str">
        <f aca="true" t="shared" si="0" ref="D6:D69">A6&amp;B6&amp;C6</f>
        <v>T5EVG35</v>
      </c>
      <c r="E6" s="8">
        <v>39</v>
      </c>
      <c r="F6" s="8">
        <v>20000</v>
      </c>
      <c r="G6" s="36" t="s">
        <v>85</v>
      </c>
      <c r="I6" s="46"/>
      <c r="J6" s="46">
        <v>35</v>
      </c>
      <c r="K6" s="47"/>
      <c r="L6" s="47">
        <v>18</v>
      </c>
      <c r="M6" s="42"/>
      <c r="N6" s="42">
        <v>42</v>
      </c>
      <c r="O6" s="42">
        <v>55</v>
      </c>
      <c r="P6" s="42"/>
      <c r="Q6" s="42">
        <v>250</v>
      </c>
      <c r="R6" s="42">
        <v>250</v>
      </c>
      <c r="S6" s="42">
        <v>150</v>
      </c>
      <c r="T6" s="42">
        <v>400</v>
      </c>
      <c r="U6" s="42">
        <v>250</v>
      </c>
      <c r="V6" s="42">
        <v>250</v>
      </c>
      <c r="W6" s="42">
        <v>62</v>
      </c>
      <c r="X6" s="42"/>
      <c r="AC6" s="85" t="s">
        <v>140</v>
      </c>
      <c r="AD6" s="86">
        <v>500</v>
      </c>
      <c r="AE6" s="87">
        <v>0.8</v>
      </c>
      <c r="AF6" s="88">
        <f>1409+91</f>
        <v>1500</v>
      </c>
    </row>
    <row r="7" spans="1:32" ht="29.25">
      <c r="A7" s="8" t="s">
        <v>24</v>
      </c>
      <c r="B7" s="8" t="s">
        <v>10</v>
      </c>
      <c r="C7" s="8">
        <v>39</v>
      </c>
      <c r="D7" s="8" t="str">
        <f t="shared" si="0"/>
        <v>T5EVG39</v>
      </c>
      <c r="E7" s="8">
        <v>44</v>
      </c>
      <c r="F7" s="8">
        <v>20000</v>
      </c>
      <c r="G7" s="36" t="s">
        <v>19</v>
      </c>
      <c r="I7" s="3"/>
      <c r="J7" s="3">
        <v>39</v>
      </c>
      <c r="K7" s="3"/>
      <c r="L7" s="3">
        <v>24</v>
      </c>
      <c r="M7" s="2"/>
      <c r="N7" s="2"/>
      <c r="O7" s="2"/>
      <c r="P7" s="2"/>
      <c r="Q7" s="2"/>
      <c r="R7" s="2">
        <v>400</v>
      </c>
      <c r="S7" s="2">
        <v>250</v>
      </c>
      <c r="T7" s="2"/>
      <c r="U7" s="2">
        <v>400</v>
      </c>
      <c r="V7" s="2">
        <v>400</v>
      </c>
      <c r="W7" s="2"/>
      <c r="X7" s="2"/>
      <c r="AC7" s="85" t="s">
        <v>141</v>
      </c>
      <c r="AD7" s="86">
        <v>300</v>
      </c>
      <c r="AE7" s="87">
        <v>0.8</v>
      </c>
      <c r="AF7" s="88">
        <f>4407+4353</f>
        <v>8760</v>
      </c>
    </row>
    <row r="8" spans="1:32" ht="15">
      <c r="A8" s="8" t="s">
        <v>24</v>
      </c>
      <c r="B8" s="8" t="s">
        <v>10</v>
      </c>
      <c r="C8" s="8">
        <v>49</v>
      </c>
      <c r="D8" s="8" t="str">
        <f t="shared" si="0"/>
        <v>T5EVG49</v>
      </c>
      <c r="E8" s="8">
        <v>54</v>
      </c>
      <c r="F8" s="8">
        <v>20000</v>
      </c>
      <c r="G8" s="36" t="s">
        <v>86</v>
      </c>
      <c r="I8" s="3"/>
      <c r="J8" s="3">
        <v>49</v>
      </c>
      <c r="K8" s="3"/>
      <c r="L8" s="3">
        <v>36</v>
      </c>
      <c r="M8" s="2"/>
      <c r="N8" s="2"/>
      <c r="O8" s="2"/>
      <c r="P8" s="2"/>
      <c r="Q8" s="2"/>
      <c r="R8" s="2"/>
      <c r="S8" s="2">
        <v>252</v>
      </c>
      <c r="T8" s="2"/>
      <c r="U8" s="2"/>
      <c r="V8" s="2"/>
      <c r="W8" s="2"/>
      <c r="X8" s="2"/>
      <c r="AC8" s="85" t="s">
        <v>142</v>
      </c>
      <c r="AD8" s="86">
        <v>300</v>
      </c>
      <c r="AE8" s="87">
        <v>0.8</v>
      </c>
      <c r="AF8" s="88">
        <f>755+3260</f>
        <v>4015</v>
      </c>
    </row>
    <row r="9" spans="1:32" ht="15">
      <c r="A9" s="8" t="s">
        <v>24</v>
      </c>
      <c r="B9" s="8" t="s">
        <v>10</v>
      </c>
      <c r="C9" s="8">
        <v>54</v>
      </c>
      <c r="D9" s="8" t="str">
        <f t="shared" si="0"/>
        <v>T5EVG54</v>
      </c>
      <c r="E9" s="8">
        <v>59</v>
      </c>
      <c r="F9" s="8">
        <v>20000</v>
      </c>
      <c r="G9" s="36" t="s">
        <v>87</v>
      </c>
      <c r="I9" s="3"/>
      <c r="J9" s="3">
        <v>54</v>
      </c>
      <c r="K9" s="3"/>
      <c r="L9" s="3">
        <v>40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AC9" s="85" t="s">
        <v>143</v>
      </c>
      <c r="AD9" s="86">
        <v>300</v>
      </c>
      <c r="AE9" s="87">
        <v>0.8</v>
      </c>
      <c r="AF9" s="88">
        <f>1748+2</f>
        <v>1750</v>
      </c>
    </row>
    <row r="10" spans="1:32" ht="15">
      <c r="A10" s="8" t="s">
        <v>24</v>
      </c>
      <c r="B10" s="8" t="s">
        <v>10</v>
      </c>
      <c r="C10" s="8">
        <v>80</v>
      </c>
      <c r="D10" s="8" t="str">
        <f t="shared" si="0"/>
        <v>T5EVG80</v>
      </c>
      <c r="E10" s="8">
        <v>88</v>
      </c>
      <c r="F10" s="8">
        <v>20000</v>
      </c>
      <c r="G10" s="36" t="s">
        <v>88</v>
      </c>
      <c r="I10" s="3"/>
      <c r="J10" s="3">
        <v>80</v>
      </c>
      <c r="K10" s="3"/>
      <c r="L10" s="3">
        <v>55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C10" s="85" t="s">
        <v>144</v>
      </c>
      <c r="AD10" s="86">
        <v>300</v>
      </c>
      <c r="AE10" s="87">
        <v>0.8</v>
      </c>
      <c r="AF10" s="88">
        <f>2404+1796</f>
        <v>4200</v>
      </c>
    </row>
    <row r="11" spans="1:32" ht="15">
      <c r="A11" s="9" t="s">
        <v>83</v>
      </c>
      <c r="B11" s="9" t="s">
        <v>10</v>
      </c>
      <c r="C11" s="9">
        <v>22</v>
      </c>
      <c r="D11" s="8" t="str">
        <f t="shared" si="0"/>
        <v>T_REVG22</v>
      </c>
      <c r="E11" s="9">
        <v>26</v>
      </c>
      <c r="F11" s="9">
        <v>9000</v>
      </c>
      <c r="G11" s="35" t="s">
        <v>13</v>
      </c>
      <c r="I11" s="10"/>
      <c r="J11" s="10"/>
      <c r="K11" s="10"/>
      <c r="L11" s="10"/>
      <c r="AC11" s="85" t="s">
        <v>145</v>
      </c>
      <c r="AD11" s="86">
        <v>300</v>
      </c>
      <c r="AE11" s="87">
        <v>0.6</v>
      </c>
      <c r="AF11" s="88">
        <f>2404+1496</f>
        <v>3900</v>
      </c>
    </row>
    <row r="12" spans="1:32" ht="15">
      <c r="A12" s="9" t="s">
        <v>83</v>
      </c>
      <c r="B12" s="9" t="s">
        <v>10</v>
      </c>
      <c r="C12" s="9">
        <v>40</v>
      </c>
      <c r="D12" s="8" t="str">
        <f t="shared" si="0"/>
        <v>T_REVG40</v>
      </c>
      <c r="E12" s="9">
        <v>44</v>
      </c>
      <c r="F12" s="9">
        <v>9000</v>
      </c>
      <c r="G12" s="35" t="s">
        <v>12</v>
      </c>
      <c r="I12" s="10"/>
      <c r="J12" s="10"/>
      <c r="K12" s="10"/>
      <c r="L12" s="10"/>
      <c r="AC12" s="85" t="s">
        <v>146</v>
      </c>
      <c r="AD12" s="86">
        <v>300</v>
      </c>
      <c r="AE12" s="87">
        <v>0.6</v>
      </c>
      <c r="AF12" s="88">
        <f>2404+1496</f>
        <v>3900</v>
      </c>
    </row>
    <row r="13" spans="1:32" ht="15">
      <c r="A13" s="9" t="s">
        <v>83</v>
      </c>
      <c r="B13" s="9" t="s">
        <v>10</v>
      </c>
      <c r="C13" s="9">
        <v>55</v>
      </c>
      <c r="D13" s="8" t="str">
        <f t="shared" si="0"/>
        <v>T_REVG55</v>
      </c>
      <c r="E13" s="9">
        <v>60</v>
      </c>
      <c r="F13" s="9">
        <v>9000</v>
      </c>
      <c r="G13" s="35" t="s">
        <v>82</v>
      </c>
      <c r="I13" s="10"/>
      <c r="J13" s="10"/>
      <c r="K13" s="10"/>
      <c r="L13" s="10"/>
      <c r="AC13" s="85" t="s">
        <v>147</v>
      </c>
      <c r="AD13" s="86">
        <v>300</v>
      </c>
      <c r="AE13" s="87">
        <v>0.8</v>
      </c>
      <c r="AF13" s="88">
        <f>2543+207</f>
        <v>2750</v>
      </c>
    </row>
    <row r="14" spans="1:32" ht="15">
      <c r="A14" s="9" t="s">
        <v>83</v>
      </c>
      <c r="B14" s="9" t="s">
        <v>10</v>
      </c>
      <c r="C14" s="9">
        <v>60</v>
      </c>
      <c r="D14" s="8" t="str">
        <f t="shared" si="0"/>
        <v>T_REVG60</v>
      </c>
      <c r="E14" s="9">
        <v>66</v>
      </c>
      <c r="F14" s="9">
        <v>9000</v>
      </c>
      <c r="G14" s="36" t="s">
        <v>9</v>
      </c>
      <c r="I14" s="10"/>
      <c r="J14" s="10"/>
      <c r="K14" s="10"/>
      <c r="L14" s="10"/>
      <c r="AC14" s="85" t="s">
        <v>148</v>
      </c>
      <c r="AD14" s="86">
        <v>300</v>
      </c>
      <c r="AE14" s="87">
        <v>0.8</v>
      </c>
      <c r="AF14" s="88">
        <f>2543+207</f>
        <v>2750</v>
      </c>
    </row>
    <row r="15" spans="1:32" ht="15">
      <c r="A15" s="9" t="s">
        <v>83</v>
      </c>
      <c r="B15" s="9" t="s">
        <v>10</v>
      </c>
      <c r="C15" s="9">
        <v>62</v>
      </c>
      <c r="D15" s="8" t="str">
        <f t="shared" si="0"/>
        <v>T_REVG62</v>
      </c>
      <c r="E15" s="9">
        <v>64</v>
      </c>
      <c r="F15" s="9">
        <v>9000</v>
      </c>
      <c r="G15" s="35" t="s">
        <v>8</v>
      </c>
      <c r="I15" s="10"/>
      <c r="J15" s="10"/>
      <c r="K15" s="10"/>
      <c r="L15" s="10"/>
      <c r="AC15" s="85" t="s">
        <v>196</v>
      </c>
      <c r="AD15" s="86">
        <v>300</v>
      </c>
      <c r="AE15" s="87">
        <v>0.8</v>
      </c>
      <c r="AF15" s="88">
        <f>2543+207</f>
        <v>2750</v>
      </c>
    </row>
    <row r="16" spans="1:41" ht="15">
      <c r="A16" s="4" t="s">
        <v>22</v>
      </c>
      <c r="B16" s="4" t="s">
        <v>21</v>
      </c>
      <c r="C16" s="4">
        <v>15</v>
      </c>
      <c r="D16" s="8" t="str">
        <f t="shared" si="0"/>
        <v>T8KVG15</v>
      </c>
      <c r="E16" s="4">
        <v>25</v>
      </c>
      <c r="F16" s="4">
        <v>11000</v>
      </c>
      <c r="G16" s="35" t="s">
        <v>7</v>
      </c>
      <c r="I16" s="45" t="s">
        <v>22</v>
      </c>
      <c r="J16" s="45" t="s">
        <v>24</v>
      </c>
      <c r="K16" s="41" t="s">
        <v>20</v>
      </c>
      <c r="L16" s="41" t="s">
        <v>19</v>
      </c>
      <c r="M16" s="41" t="s">
        <v>17</v>
      </c>
      <c r="N16" s="41" t="s">
        <v>16</v>
      </c>
      <c r="O16" s="41" t="s">
        <v>15</v>
      </c>
      <c r="P16" s="41" t="s">
        <v>14</v>
      </c>
      <c r="Q16" s="41" t="s">
        <v>13</v>
      </c>
      <c r="R16" s="41" t="s">
        <v>12</v>
      </c>
      <c r="S16" s="41" t="s">
        <v>11</v>
      </c>
      <c r="T16" s="41" t="s">
        <v>9</v>
      </c>
      <c r="U16" s="41" t="s">
        <v>8</v>
      </c>
      <c r="V16" s="41" t="s">
        <v>7</v>
      </c>
      <c r="W16" s="41" t="s">
        <v>23</v>
      </c>
      <c r="X16" s="41" t="s">
        <v>18</v>
      </c>
      <c r="Y16" s="41" t="s">
        <v>78</v>
      </c>
      <c r="Z16" s="41" t="s">
        <v>79</v>
      </c>
      <c r="AC16" s="85" t="s">
        <v>149</v>
      </c>
      <c r="AD16" s="86">
        <v>300</v>
      </c>
      <c r="AE16" s="87">
        <v>0.8</v>
      </c>
      <c r="AF16" s="88">
        <v>2750</v>
      </c>
      <c r="AM16" s="2"/>
      <c r="AN16" s="2"/>
      <c r="AO16" s="2"/>
    </row>
    <row r="17" spans="1:41" ht="15">
      <c r="A17" s="4" t="s">
        <v>22</v>
      </c>
      <c r="B17" s="4" t="s">
        <v>21</v>
      </c>
      <c r="C17" s="4">
        <v>18</v>
      </c>
      <c r="D17" s="8" t="str">
        <f t="shared" si="0"/>
        <v>T8KVG18</v>
      </c>
      <c r="E17" s="4">
        <v>30.5</v>
      </c>
      <c r="F17" s="4">
        <v>11000</v>
      </c>
      <c r="G17" s="36" t="s">
        <v>78</v>
      </c>
      <c r="I17" s="3" t="s">
        <v>10</v>
      </c>
      <c r="J17" s="3" t="s">
        <v>10</v>
      </c>
      <c r="K17" s="2" t="s">
        <v>3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3</v>
      </c>
      <c r="R17" s="2" t="s">
        <v>10</v>
      </c>
      <c r="S17" s="2" t="s">
        <v>10</v>
      </c>
      <c r="T17" s="2" t="s">
        <v>3</v>
      </c>
      <c r="U17" s="2" t="s">
        <v>3</v>
      </c>
      <c r="V17" s="2" t="s">
        <v>3</v>
      </c>
      <c r="W17" s="2" t="s">
        <v>10</v>
      </c>
      <c r="X17" s="2" t="s">
        <v>10</v>
      </c>
      <c r="AC17" s="85" t="s">
        <v>150</v>
      </c>
      <c r="AD17" s="86">
        <v>300</v>
      </c>
      <c r="AE17" s="87">
        <v>0.8</v>
      </c>
      <c r="AF17" s="88">
        <f>4407+4353</f>
        <v>8760</v>
      </c>
      <c r="AM17" s="44"/>
      <c r="AN17" s="2"/>
      <c r="AO17" s="2"/>
    </row>
    <row r="18" spans="1:41" ht="15">
      <c r="A18" s="4" t="s">
        <v>22</v>
      </c>
      <c r="B18" s="4" t="s">
        <v>21</v>
      </c>
      <c r="C18" s="4">
        <v>36</v>
      </c>
      <c r="D18" s="8" t="str">
        <f t="shared" si="0"/>
        <v>T8KVG36</v>
      </c>
      <c r="E18" s="4">
        <v>48.5</v>
      </c>
      <c r="F18" s="4">
        <v>11000</v>
      </c>
      <c r="G18" s="36" t="s">
        <v>79</v>
      </c>
      <c r="I18" s="3" t="s">
        <v>3</v>
      </c>
      <c r="J18" s="3"/>
      <c r="K18" s="2" t="s">
        <v>21</v>
      </c>
      <c r="L18" s="2" t="s">
        <v>3</v>
      </c>
      <c r="M18" s="2" t="s">
        <v>3</v>
      </c>
      <c r="N18" s="2" t="s">
        <v>3</v>
      </c>
      <c r="O18" s="2" t="s">
        <v>3</v>
      </c>
      <c r="P18" s="2" t="s">
        <v>3</v>
      </c>
      <c r="Q18" s="10"/>
      <c r="R18" s="2" t="s">
        <v>3</v>
      </c>
      <c r="S18" s="2" t="s">
        <v>3</v>
      </c>
      <c r="T18" s="10"/>
      <c r="U18" s="10"/>
      <c r="V18" s="10"/>
      <c r="W18" s="2"/>
      <c r="X18" s="2" t="s">
        <v>3</v>
      </c>
      <c r="AC18" s="85" t="s">
        <v>151</v>
      </c>
      <c r="AD18" s="86">
        <v>300</v>
      </c>
      <c r="AE18" s="87">
        <v>0.6</v>
      </c>
      <c r="AF18" s="88">
        <f>2192+58</f>
        <v>2250</v>
      </c>
      <c r="AM18" s="44"/>
      <c r="AN18" s="2"/>
      <c r="AO18" s="2"/>
    </row>
    <row r="19" spans="1:41" ht="29.25">
      <c r="A19" s="4" t="s">
        <v>22</v>
      </c>
      <c r="B19" s="4" t="s">
        <v>21</v>
      </c>
      <c r="C19" s="4">
        <v>58</v>
      </c>
      <c r="D19" s="8" t="str">
        <f t="shared" si="0"/>
        <v>T8KVG58</v>
      </c>
      <c r="E19" s="4">
        <v>75</v>
      </c>
      <c r="F19" s="4">
        <v>11000</v>
      </c>
      <c r="G19" s="4"/>
      <c r="I19" s="3" t="s">
        <v>21</v>
      </c>
      <c r="J19" s="3"/>
      <c r="K19" s="10"/>
      <c r="L19" s="10"/>
      <c r="M19" s="10"/>
      <c r="N19" s="10"/>
      <c r="O19" s="10"/>
      <c r="P19" s="10"/>
      <c r="Q19" s="2"/>
      <c r="R19" s="10"/>
      <c r="S19" s="10"/>
      <c r="T19" s="2"/>
      <c r="U19" s="2"/>
      <c r="V19" s="44"/>
      <c r="W19" s="2"/>
      <c r="X19" s="10"/>
      <c r="AC19" s="85" t="s">
        <v>152</v>
      </c>
      <c r="AD19" s="86">
        <v>300</v>
      </c>
      <c r="AE19" s="87">
        <v>0.8</v>
      </c>
      <c r="AF19" s="88">
        <f>55+946</f>
        <v>1001</v>
      </c>
      <c r="AJ19" s="2"/>
      <c r="AK19" s="44"/>
      <c r="AL19" s="2"/>
      <c r="AM19" s="44"/>
      <c r="AN19" s="2"/>
      <c r="AO19" s="2"/>
    </row>
    <row r="20" spans="1:32" ht="15">
      <c r="A20" s="4" t="s">
        <v>22</v>
      </c>
      <c r="B20" s="4" t="s">
        <v>3</v>
      </c>
      <c r="C20" s="4">
        <v>18</v>
      </c>
      <c r="D20" s="8" t="str">
        <f t="shared" si="0"/>
        <v>T8VVG18</v>
      </c>
      <c r="E20" s="4">
        <v>25.5</v>
      </c>
      <c r="F20" s="4">
        <v>11000</v>
      </c>
      <c r="G20" s="4"/>
      <c r="I20" s="10"/>
      <c r="J20" s="10"/>
      <c r="AC20" s="85" t="s">
        <v>153</v>
      </c>
      <c r="AD20" s="86">
        <v>300</v>
      </c>
      <c r="AE20" s="87">
        <v>0.8</v>
      </c>
      <c r="AF20" s="88">
        <f>55+946</f>
        <v>1001</v>
      </c>
    </row>
    <row r="21" spans="1:32" ht="15">
      <c r="A21" s="4" t="s">
        <v>22</v>
      </c>
      <c r="B21" s="4" t="s">
        <v>3</v>
      </c>
      <c r="C21" s="4">
        <v>36</v>
      </c>
      <c r="D21" s="8" t="str">
        <f t="shared" si="0"/>
        <v>T8VVG36</v>
      </c>
      <c r="E21" s="4">
        <v>44.5</v>
      </c>
      <c r="F21" s="4">
        <v>11000</v>
      </c>
      <c r="G21" s="4"/>
      <c r="AC21" s="85" t="s">
        <v>154</v>
      </c>
      <c r="AD21" s="86">
        <v>300</v>
      </c>
      <c r="AE21" s="87">
        <v>0.8</v>
      </c>
      <c r="AF21" s="88">
        <f>1253+1247</f>
        <v>2500</v>
      </c>
    </row>
    <row r="22" spans="1:32" ht="15">
      <c r="A22" s="4" t="s">
        <v>22</v>
      </c>
      <c r="B22" s="4" t="s">
        <v>3</v>
      </c>
      <c r="C22" s="4">
        <v>58</v>
      </c>
      <c r="D22" s="8" t="str">
        <f t="shared" si="0"/>
        <v>T8VVG58</v>
      </c>
      <c r="E22" s="4">
        <v>70</v>
      </c>
      <c r="F22" s="4">
        <v>11000</v>
      </c>
      <c r="G22" s="4"/>
      <c r="AC22" s="85" t="s">
        <v>155</v>
      </c>
      <c r="AD22" s="86">
        <v>300</v>
      </c>
      <c r="AE22" s="87">
        <v>0.8</v>
      </c>
      <c r="AF22" s="88">
        <f>1260+90</f>
        <v>1350</v>
      </c>
    </row>
    <row r="23" spans="1:32" ht="15">
      <c r="A23" s="4" t="s">
        <v>22</v>
      </c>
      <c r="B23" s="4" t="s">
        <v>10</v>
      </c>
      <c r="C23" s="4">
        <v>18</v>
      </c>
      <c r="D23" s="8" t="str">
        <f t="shared" si="0"/>
        <v>T8EVG18</v>
      </c>
      <c r="E23" s="4">
        <v>19</v>
      </c>
      <c r="F23" s="4">
        <v>16000</v>
      </c>
      <c r="G23" s="4"/>
      <c r="AC23" s="85" t="s">
        <v>156</v>
      </c>
      <c r="AD23" s="86">
        <v>300</v>
      </c>
      <c r="AE23" s="87">
        <v>0.8</v>
      </c>
      <c r="AF23" s="88">
        <f>1850+151</f>
        <v>2001</v>
      </c>
    </row>
    <row r="24" spans="1:32" ht="29.25">
      <c r="A24" s="4" t="s">
        <v>22</v>
      </c>
      <c r="B24" s="4" t="s">
        <v>10</v>
      </c>
      <c r="C24" s="4">
        <v>36</v>
      </c>
      <c r="D24" s="8" t="str">
        <f t="shared" si="0"/>
        <v>T8EVG36</v>
      </c>
      <c r="E24" s="4">
        <v>36</v>
      </c>
      <c r="F24" s="4">
        <v>16000</v>
      </c>
      <c r="G24" s="4"/>
      <c r="AC24" s="85" t="s">
        <v>157</v>
      </c>
      <c r="AD24" s="86">
        <v>500</v>
      </c>
      <c r="AE24" s="87">
        <v>0.8</v>
      </c>
      <c r="AF24" s="88">
        <f>2999+601</f>
        <v>3600</v>
      </c>
    </row>
    <row r="25" spans="1:32" ht="15">
      <c r="A25" s="4" t="s">
        <v>22</v>
      </c>
      <c r="B25" s="4" t="s">
        <v>10</v>
      </c>
      <c r="C25" s="4">
        <v>58</v>
      </c>
      <c r="D25" s="8" t="str">
        <f t="shared" si="0"/>
        <v>T8EVG58</v>
      </c>
      <c r="E25" s="4">
        <v>55</v>
      </c>
      <c r="F25" s="4">
        <v>16000</v>
      </c>
      <c r="G25" s="4"/>
      <c r="AC25" s="85" t="s">
        <v>158</v>
      </c>
      <c r="AD25" s="86">
        <v>500</v>
      </c>
      <c r="AE25" s="87">
        <v>0.8</v>
      </c>
      <c r="AF25" s="88">
        <v>4500</v>
      </c>
    </row>
    <row r="26" spans="1:32" ht="15">
      <c r="A26" s="8" t="s">
        <v>20</v>
      </c>
      <c r="B26" s="8" t="s">
        <v>21</v>
      </c>
      <c r="C26" s="8">
        <v>20</v>
      </c>
      <c r="D26" s="8" t="str">
        <f t="shared" si="0"/>
        <v>T12KVG20</v>
      </c>
      <c r="E26" s="8">
        <v>32.5</v>
      </c>
      <c r="F26" s="8">
        <v>8000</v>
      </c>
      <c r="G26" s="4"/>
      <c r="AC26" s="85" t="s">
        <v>234</v>
      </c>
      <c r="AD26" s="86">
        <v>75</v>
      </c>
      <c r="AE26" s="87">
        <v>0.8</v>
      </c>
      <c r="AF26" s="88">
        <v>5475</v>
      </c>
    </row>
    <row r="27" spans="1:7" ht="12.75">
      <c r="A27" s="8" t="s">
        <v>20</v>
      </c>
      <c r="B27" s="8" t="s">
        <v>21</v>
      </c>
      <c r="C27" s="8">
        <v>40</v>
      </c>
      <c r="D27" s="8" t="str">
        <f t="shared" si="0"/>
        <v>T12KVG40</v>
      </c>
      <c r="E27" s="8">
        <v>52.5</v>
      </c>
      <c r="F27" s="8">
        <v>8000</v>
      </c>
      <c r="G27" s="4"/>
    </row>
    <row r="28" spans="1:7" ht="12.75">
      <c r="A28" s="8" t="s">
        <v>20</v>
      </c>
      <c r="B28" s="8" t="s">
        <v>21</v>
      </c>
      <c r="C28" s="8">
        <v>65</v>
      </c>
      <c r="D28" s="8" t="str">
        <f t="shared" si="0"/>
        <v>T12KVG65</v>
      </c>
      <c r="E28" s="8">
        <v>82</v>
      </c>
      <c r="F28" s="8">
        <v>8000</v>
      </c>
      <c r="G28" s="4"/>
    </row>
    <row r="29" spans="1:7" ht="12.75">
      <c r="A29" s="8" t="s">
        <v>20</v>
      </c>
      <c r="B29" s="8" t="s">
        <v>3</v>
      </c>
      <c r="C29" s="8">
        <v>20</v>
      </c>
      <c r="D29" s="8" t="str">
        <f t="shared" si="0"/>
        <v>T12VVG20</v>
      </c>
      <c r="E29" s="8">
        <v>27.5</v>
      </c>
      <c r="F29" s="8">
        <v>8000</v>
      </c>
      <c r="G29" s="4"/>
    </row>
    <row r="30" spans="1:7" ht="12.75">
      <c r="A30" s="8" t="s">
        <v>20</v>
      </c>
      <c r="B30" s="8" t="s">
        <v>3</v>
      </c>
      <c r="C30" s="8">
        <v>40</v>
      </c>
      <c r="D30" s="8" t="str">
        <f t="shared" si="0"/>
        <v>T12VVG40</v>
      </c>
      <c r="E30" s="8">
        <v>48.5</v>
      </c>
      <c r="F30" s="8">
        <v>8000</v>
      </c>
      <c r="G30" s="4"/>
    </row>
    <row r="31" spans="1:7" ht="12.75">
      <c r="A31" s="8" t="s">
        <v>20</v>
      </c>
      <c r="B31" s="8" t="s">
        <v>3</v>
      </c>
      <c r="C31" s="8">
        <v>65</v>
      </c>
      <c r="D31" s="8" t="str">
        <f t="shared" si="0"/>
        <v>T12VVG65</v>
      </c>
      <c r="E31" s="8">
        <v>77</v>
      </c>
      <c r="F31" s="8">
        <v>8000</v>
      </c>
      <c r="G31" s="4"/>
    </row>
    <row r="32" spans="1:7" ht="12.75">
      <c r="A32" s="4" t="s">
        <v>19</v>
      </c>
      <c r="B32" s="4" t="s">
        <v>3</v>
      </c>
      <c r="C32" s="4">
        <v>5</v>
      </c>
      <c r="D32" s="8" t="str">
        <f t="shared" si="0"/>
        <v>TCVVG5</v>
      </c>
      <c r="E32" s="4">
        <v>10</v>
      </c>
      <c r="F32" s="4">
        <v>7000</v>
      </c>
      <c r="G32" s="4"/>
    </row>
    <row r="33" spans="1:7" ht="12.75">
      <c r="A33" s="4" t="s">
        <v>19</v>
      </c>
      <c r="B33" s="4" t="s">
        <v>3</v>
      </c>
      <c r="C33" s="4">
        <v>7</v>
      </c>
      <c r="D33" s="8" t="str">
        <f t="shared" si="0"/>
        <v>TCVVG7</v>
      </c>
      <c r="E33" s="4">
        <v>11</v>
      </c>
      <c r="F33" s="4">
        <v>7000</v>
      </c>
      <c r="G33" s="4"/>
    </row>
    <row r="34" spans="1:7" ht="12.75">
      <c r="A34" s="4" t="s">
        <v>19</v>
      </c>
      <c r="B34" s="4" t="s">
        <v>3</v>
      </c>
      <c r="C34" s="4">
        <v>9</v>
      </c>
      <c r="D34" s="8" t="str">
        <f t="shared" si="0"/>
        <v>TCVVG9</v>
      </c>
      <c r="E34" s="4">
        <v>13</v>
      </c>
      <c r="F34" s="4">
        <v>7000</v>
      </c>
      <c r="G34" s="4"/>
    </row>
    <row r="35" spans="1:7" ht="12.75">
      <c r="A35" s="4" t="s">
        <v>19</v>
      </c>
      <c r="B35" s="4" t="s">
        <v>3</v>
      </c>
      <c r="C35" s="4">
        <v>11</v>
      </c>
      <c r="D35" s="8" t="str">
        <f t="shared" si="0"/>
        <v>TCVVG11</v>
      </c>
      <c r="E35" s="4">
        <v>15</v>
      </c>
      <c r="F35" s="4">
        <v>7000</v>
      </c>
      <c r="G35" s="4"/>
    </row>
    <row r="36" spans="1:7" ht="12.75">
      <c r="A36" s="4" t="s">
        <v>19</v>
      </c>
      <c r="B36" s="4" t="s">
        <v>3</v>
      </c>
      <c r="C36" s="4">
        <v>18</v>
      </c>
      <c r="D36" s="8" t="str">
        <f t="shared" si="0"/>
        <v>TCVVG18</v>
      </c>
      <c r="E36" s="4">
        <v>25.5</v>
      </c>
      <c r="F36" s="4">
        <v>11000</v>
      </c>
      <c r="G36" s="4"/>
    </row>
    <row r="37" spans="1:7" ht="12.75">
      <c r="A37" s="4" t="s">
        <v>19</v>
      </c>
      <c r="B37" s="4" t="s">
        <v>3</v>
      </c>
      <c r="C37" s="4">
        <v>24</v>
      </c>
      <c r="D37" s="8" t="str">
        <f t="shared" si="0"/>
        <v>TCVVG24</v>
      </c>
      <c r="E37" s="4">
        <v>31.5</v>
      </c>
      <c r="F37" s="4">
        <v>11000</v>
      </c>
      <c r="G37" s="4"/>
    </row>
    <row r="38" spans="1:7" ht="12.75">
      <c r="A38" s="4" t="s">
        <v>19</v>
      </c>
      <c r="B38" s="4" t="s">
        <v>3</v>
      </c>
      <c r="C38" s="4">
        <v>36</v>
      </c>
      <c r="D38" s="8" t="str">
        <f t="shared" si="0"/>
        <v>TCVVG36</v>
      </c>
      <c r="E38" s="4">
        <v>44.5</v>
      </c>
      <c r="F38" s="4">
        <v>11000</v>
      </c>
      <c r="G38" s="4"/>
    </row>
    <row r="39" spans="1:7" ht="12.75">
      <c r="A39" s="4" t="s">
        <v>19</v>
      </c>
      <c r="B39" s="4" t="s">
        <v>10</v>
      </c>
      <c r="C39" s="4">
        <v>5</v>
      </c>
      <c r="D39" s="8" t="str">
        <f t="shared" si="0"/>
        <v>TCEVG5</v>
      </c>
      <c r="E39" s="4">
        <v>7.5</v>
      </c>
      <c r="F39" s="4">
        <v>8500</v>
      </c>
      <c r="G39" s="4"/>
    </row>
    <row r="40" spans="1:7" ht="12.75">
      <c r="A40" s="4" t="s">
        <v>19</v>
      </c>
      <c r="B40" s="4" t="s">
        <v>10</v>
      </c>
      <c r="C40" s="4">
        <v>7</v>
      </c>
      <c r="D40" s="8" t="str">
        <f t="shared" si="0"/>
        <v>TCEVG7</v>
      </c>
      <c r="E40" s="4">
        <v>9</v>
      </c>
      <c r="F40" s="4">
        <v>8500</v>
      </c>
      <c r="G40" s="4"/>
    </row>
    <row r="41" spans="1:7" ht="12.75">
      <c r="A41" s="4" t="s">
        <v>19</v>
      </c>
      <c r="B41" s="4" t="s">
        <v>10</v>
      </c>
      <c r="C41" s="4">
        <v>9</v>
      </c>
      <c r="D41" s="8" t="str">
        <f t="shared" si="0"/>
        <v>TCEVG9</v>
      </c>
      <c r="E41" s="4">
        <v>12</v>
      </c>
      <c r="F41" s="4">
        <v>8500</v>
      </c>
      <c r="G41" s="4"/>
    </row>
    <row r="42" spans="1:7" ht="12.75">
      <c r="A42" s="4" t="s">
        <v>19</v>
      </c>
      <c r="B42" s="4" t="s">
        <v>10</v>
      </c>
      <c r="C42" s="4">
        <v>11</v>
      </c>
      <c r="D42" s="8" t="str">
        <f t="shared" si="0"/>
        <v>TCEVG11</v>
      </c>
      <c r="E42" s="4">
        <v>14</v>
      </c>
      <c r="F42" s="4">
        <v>8500</v>
      </c>
      <c r="G42" s="4"/>
    </row>
    <row r="43" spans="1:7" ht="12.75">
      <c r="A43" s="4" t="s">
        <v>19</v>
      </c>
      <c r="B43" s="4" t="s">
        <v>10</v>
      </c>
      <c r="C43" s="4">
        <v>18</v>
      </c>
      <c r="D43" s="8" t="str">
        <f t="shared" si="0"/>
        <v>TCEVG18</v>
      </c>
      <c r="E43" s="4">
        <v>19</v>
      </c>
      <c r="F43" s="4">
        <v>16000</v>
      </c>
      <c r="G43" s="4"/>
    </row>
    <row r="44" spans="1:7" ht="12.75">
      <c r="A44" s="4" t="s">
        <v>19</v>
      </c>
      <c r="B44" s="4" t="s">
        <v>10</v>
      </c>
      <c r="C44" s="4">
        <v>24</v>
      </c>
      <c r="D44" s="8" t="str">
        <f t="shared" si="0"/>
        <v>TCEVG24</v>
      </c>
      <c r="E44" s="4">
        <v>27</v>
      </c>
      <c r="F44" s="4">
        <v>16000</v>
      </c>
      <c r="G44" s="4"/>
    </row>
    <row r="45" spans="1:7" ht="12.75">
      <c r="A45" s="4" t="s">
        <v>19</v>
      </c>
      <c r="B45" s="4" t="s">
        <v>10</v>
      </c>
      <c r="C45" s="4">
        <v>36</v>
      </c>
      <c r="D45" s="8" t="str">
        <f t="shared" si="0"/>
        <v>TCEVG36</v>
      </c>
      <c r="E45" s="4">
        <v>39</v>
      </c>
      <c r="F45" s="4">
        <v>16000</v>
      </c>
      <c r="G45" s="4"/>
    </row>
    <row r="46" spans="1:7" ht="12.75">
      <c r="A46" s="4" t="s">
        <v>19</v>
      </c>
      <c r="B46" s="4" t="s">
        <v>10</v>
      </c>
      <c r="C46" s="4">
        <v>40</v>
      </c>
      <c r="D46" s="8" t="str">
        <f t="shared" si="0"/>
        <v>TCEVG40</v>
      </c>
      <c r="E46" s="4">
        <v>45</v>
      </c>
      <c r="F46" s="4">
        <v>16000</v>
      </c>
      <c r="G46" s="4"/>
    </row>
    <row r="47" spans="1:7" ht="12.75">
      <c r="A47" s="4" t="s">
        <v>19</v>
      </c>
      <c r="B47" s="4" t="s">
        <v>10</v>
      </c>
      <c r="C47" s="4">
        <v>55</v>
      </c>
      <c r="D47" s="8" t="str">
        <f t="shared" si="0"/>
        <v>TCEVG55</v>
      </c>
      <c r="E47" s="4">
        <v>62</v>
      </c>
      <c r="F47" s="4">
        <v>16000</v>
      </c>
      <c r="G47" s="4"/>
    </row>
    <row r="48" spans="1:7" ht="12.75">
      <c r="A48" s="9" t="s">
        <v>84</v>
      </c>
      <c r="B48" s="9" t="s">
        <v>3</v>
      </c>
      <c r="C48" s="9">
        <v>5</v>
      </c>
      <c r="D48" s="8" t="str">
        <f t="shared" si="0"/>
        <v>TC_SVVG5</v>
      </c>
      <c r="E48" s="9">
        <v>10</v>
      </c>
      <c r="F48" s="9">
        <v>7000</v>
      </c>
      <c r="G48" s="4"/>
    </row>
    <row r="49" spans="1:7" ht="12.75">
      <c r="A49" s="9" t="s">
        <v>84</v>
      </c>
      <c r="B49" s="9" t="s">
        <v>3</v>
      </c>
      <c r="C49" s="9">
        <v>7</v>
      </c>
      <c r="D49" s="8" t="str">
        <f t="shared" si="0"/>
        <v>TC_SVVG7</v>
      </c>
      <c r="E49" s="9">
        <v>11</v>
      </c>
      <c r="F49" s="9">
        <v>7000</v>
      </c>
      <c r="G49" s="4"/>
    </row>
    <row r="50" spans="1:7" ht="12.75">
      <c r="A50" s="9" t="s">
        <v>84</v>
      </c>
      <c r="B50" s="9" t="s">
        <v>3</v>
      </c>
      <c r="C50" s="9">
        <v>9</v>
      </c>
      <c r="D50" s="8" t="str">
        <f t="shared" si="0"/>
        <v>TC_SVVG9</v>
      </c>
      <c r="E50" s="9">
        <v>13</v>
      </c>
      <c r="F50" s="9">
        <v>7000</v>
      </c>
      <c r="G50" s="4"/>
    </row>
    <row r="51" spans="1:7" ht="12.75">
      <c r="A51" s="9" t="s">
        <v>84</v>
      </c>
      <c r="B51" s="9" t="s">
        <v>3</v>
      </c>
      <c r="C51" s="9">
        <v>11</v>
      </c>
      <c r="D51" s="8" t="str">
        <f t="shared" si="0"/>
        <v>TC_SVVG11</v>
      </c>
      <c r="E51" s="9">
        <v>15</v>
      </c>
      <c r="F51" s="9">
        <v>7000</v>
      </c>
      <c r="G51" s="4"/>
    </row>
    <row r="52" spans="1:7" ht="12.75">
      <c r="A52" s="9" t="s">
        <v>85</v>
      </c>
      <c r="B52" s="9" t="s">
        <v>3</v>
      </c>
      <c r="C52" s="9">
        <v>18</v>
      </c>
      <c r="D52" s="8" t="str">
        <f t="shared" si="0"/>
        <v>TC_LVVG18</v>
      </c>
      <c r="E52" s="8">
        <v>25.5</v>
      </c>
      <c r="F52" s="9">
        <v>11000</v>
      </c>
      <c r="G52" s="4"/>
    </row>
    <row r="53" spans="1:7" ht="12.75">
      <c r="A53" s="9" t="s">
        <v>85</v>
      </c>
      <c r="B53" s="9" t="s">
        <v>3</v>
      </c>
      <c r="C53" s="9">
        <v>24</v>
      </c>
      <c r="D53" s="8" t="str">
        <f t="shared" si="0"/>
        <v>TC_LVVG24</v>
      </c>
      <c r="E53" s="8">
        <v>31.5</v>
      </c>
      <c r="F53" s="9">
        <v>11000</v>
      </c>
      <c r="G53" s="4"/>
    </row>
    <row r="54" spans="1:7" ht="12.75">
      <c r="A54" s="9" t="s">
        <v>85</v>
      </c>
      <c r="B54" s="9" t="s">
        <v>3</v>
      </c>
      <c r="C54" s="9">
        <v>36</v>
      </c>
      <c r="D54" s="8" t="str">
        <f t="shared" si="0"/>
        <v>TC_LVVG36</v>
      </c>
      <c r="E54" s="8">
        <v>44.5</v>
      </c>
      <c r="F54" s="9">
        <v>11000</v>
      </c>
      <c r="G54" s="4"/>
    </row>
    <row r="55" spans="1:7" ht="12.75">
      <c r="A55" s="9" t="s">
        <v>84</v>
      </c>
      <c r="B55" s="9" t="s">
        <v>10</v>
      </c>
      <c r="C55" s="9">
        <v>5</v>
      </c>
      <c r="D55" s="8" t="str">
        <f t="shared" si="0"/>
        <v>TC_SEVG5</v>
      </c>
      <c r="E55" s="9">
        <v>7.5</v>
      </c>
      <c r="F55" s="9">
        <v>8500</v>
      </c>
      <c r="G55" s="4"/>
    </row>
    <row r="56" spans="1:7" ht="12.75">
      <c r="A56" s="9" t="s">
        <v>84</v>
      </c>
      <c r="B56" s="9" t="s">
        <v>10</v>
      </c>
      <c r="C56" s="9">
        <v>7</v>
      </c>
      <c r="D56" s="8" t="str">
        <f t="shared" si="0"/>
        <v>TC_SEVG7</v>
      </c>
      <c r="E56" s="9">
        <v>9</v>
      </c>
      <c r="F56" s="9">
        <v>8500</v>
      </c>
      <c r="G56" s="4"/>
    </row>
    <row r="57" spans="1:7" ht="12.75">
      <c r="A57" s="9" t="s">
        <v>84</v>
      </c>
      <c r="B57" s="9" t="s">
        <v>10</v>
      </c>
      <c r="C57" s="9">
        <v>9</v>
      </c>
      <c r="D57" s="8" t="str">
        <f t="shared" si="0"/>
        <v>TC_SEVG9</v>
      </c>
      <c r="E57" s="9">
        <v>12</v>
      </c>
      <c r="F57" s="9">
        <v>8500</v>
      </c>
      <c r="G57" s="4"/>
    </row>
    <row r="58" spans="1:7" ht="12.75">
      <c r="A58" s="9" t="s">
        <v>84</v>
      </c>
      <c r="B58" s="9" t="s">
        <v>10</v>
      </c>
      <c r="C58" s="9">
        <v>11</v>
      </c>
      <c r="D58" s="8" t="str">
        <f t="shared" si="0"/>
        <v>TC_SEVG11</v>
      </c>
      <c r="E58" s="9">
        <v>14</v>
      </c>
      <c r="F58" s="9">
        <v>8500</v>
      </c>
      <c r="G58" s="4"/>
    </row>
    <row r="59" spans="1:7" ht="12.75">
      <c r="A59" s="9" t="s">
        <v>85</v>
      </c>
      <c r="B59" s="9" t="s">
        <v>10</v>
      </c>
      <c r="C59" s="9">
        <v>18</v>
      </c>
      <c r="D59" s="8" t="str">
        <f t="shared" si="0"/>
        <v>TC_LEVG18</v>
      </c>
      <c r="E59" s="9">
        <v>19</v>
      </c>
      <c r="F59" s="9">
        <v>16000</v>
      </c>
      <c r="G59" s="4"/>
    </row>
    <row r="60" spans="1:7" ht="12.75">
      <c r="A60" s="9" t="s">
        <v>85</v>
      </c>
      <c r="B60" s="9" t="s">
        <v>10</v>
      </c>
      <c r="C60" s="9">
        <v>24</v>
      </c>
      <c r="D60" s="8" t="str">
        <f t="shared" si="0"/>
        <v>TC_LEVG24</v>
      </c>
      <c r="E60" s="9">
        <v>27</v>
      </c>
      <c r="F60" s="9">
        <v>16000</v>
      </c>
      <c r="G60" s="4"/>
    </row>
    <row r="61" spans="1:7" ht="12.75">
      <c r="A61" s="9" t="s">
        <v>85</v>
      </c>
      <c r="B61" s="9" t="s">
        <v>10</v>
      </c>
      <c r="C61" s="9">
        <v>36</v>
      </c>
      <c r="D61" s="8" t="str">
        <f t="shared" si="0"/>
        <v>TC_LEVG36</v>
      </c>
      <c r="E61" s="9">
        <v>39</v>
      </c>
      <c r="F61" s="9">
        <v>16000</v>
      </c>
      <c r="G61" s="4"/>
    </row>
    <row r="62" spans="1:7" ht="12.75">
      <c r="A62" s="9" t="s">
        <v>85</v>
      </c>
      <c r="B62" s="9" t="s">
        <v>10</v>
      </c>
      <c r="C62" s="9">
        <v>40</v>
      </c>
      <c r="D62" s="8" t="str">
        <f t="shared" si="0"/>
        <v>TC_LEVG40</v>
      </c>
      <c r="E62" s="9">
        <v>45</v>
      </c>
      <c r="F62" s="9">
        <v>16000</v>
      </c>
      <c r="G62" s="4"/>
    </row>
    <row r="63" spans="1:7" ht="12.75">
      <c r="A63" s="9" t="s">
        <v>85</v>
      </c>
      <c r="B63" s="9" t="s">
        <v>10</v>
      </c>
      <c r="C63" s="9">
        <v>55</v>
      </c>
      <c r="D63" s="8" t="str">
        <f t="shared" si="0"/>
        <v>TC_LEVG55</v>
      </c>
      <c r="E63" s="9">
        <v>62</v>
      </c>
      <c r="F63" s="9">
        <v>16000</v>
      </c>
      <c r="G63" s="4"/>
    </row>
    <row r="64" spans="1:7" ht="12.75">
      <c r="A64" s="8" t="s">
        <v>86</v>
      </c>
      <c r="B64" s="8" t="s">
        <v>3</v>
      </c>
      <c r="C64" s="8">
        <v>10</v>
      </c>
      <c r="D64" s="8" t="str">
        <f t="shared" si="0"/>
        <v>TC_DVVG10</v>
      </c>
      <c r="E64" s="8">
        <v>15</v>
      </c>
      <c r="F64" s="8">
        <v>7000</v>
      </c>
      <c r="G64" s="4"/>
    </row>
    <row r="65" spans="1:7" ht="12.75">
      <c r="A65" s="8" t="s">
        <v>86</v>
      </c>
      <c r="B65" s="8" t="s">
        <v>3</v>
      </c>
      <c r="C65" s="8">
        <v>13</v>
      </c>
      <c r="D65" s="8" t="str">
        <f t="shared" si="0"/>
        <v>TC_DVVG13</v>
      </c>
      <c r="E65" s="8">
        <v>17</v>
      </c>
      <c r="F65" s="8">
        <v>7000</v>
      </c>
      <c r="G65" s="4"/>
    </row>
    <row r="66" spans="1:7" ht="12.75">
      <c r="A66" s="8" t="s">
        <v>86</v>
      </c>
      <c r="B66" s="8" t="s">
        <v>3</v>
      </c>
      <c r="C66" s="8">
        <v>18</v>
      </c>
      <c r="D66" s="8" t="str">
        <f t="shared" si="0"/>
        <v>TC_DVVG18</v>
      </c>
      <c r="E66" s="8">
        <v>23</v>
      </c>
      <c r="F66" s="8">
        <v>7000</v>
      </c>
      <c r="G66" s="6"/>
    </row>
    <row r="67" spans="1:7" ht="12.75">
      <c r="A67" s="8" t="s">
        <v>86</v>
      </c>
      <c r="B67" s="8" t="s">
        <v>3</v>
      </c>
      <c r="C67" s="8">
        <v>26</v>
      </c>
      <c r="D67" s="8" t="str">
        <f t="shared" si="0"/>
        <v>TC_DVVG26</v>
      </c>
      <c r="E67" s="8">
        <v>33.5</v>
      </c>
      <c r="F67" s="8">
        <v>7000</v>
      </c>
      <c r="G67" s="4"/>
    </row>
    <row r="68" spans="1:7" ht="12.75">
      <c r="A68" s="8" t="s">
        <v>86</v>
      </c>
      <c r="B68" s="8" t="s">
        <v>10</v>
      </c>
      <c r="C68" s="8">
        <v>10</v>
      </c>
      <c r="D68" s="8" t="str">
        <f t="shared" si="0"/>
        <v>TC_DEVG10</v>
      </c>
      <c r="E68" s="8">
        <v>12</v>
      </c>
      <c r="F68" s="8">
        <v>10000</v>
      </c>
      <c r="G68" s="4"/>
    </row>
    <row r="69" spans="1:7" ht="12.75">
      <c r="A69" s="8" t="s">
        <v>86</v>
      </c>
      <c r="B69" s="8" t="s">
        <v>10</v>
      </c>
      <c r="C69" s="8">
        <v>13</v>
      </c>
      <c r="D69" s="8" t="str">
        <f t="shared" si="0"/>
        <v>TC_DEVG13</v>
      </c>
      <c r="E69" s="8">
        <v>14</v>
      </c>
      <c r="F69" s="8">
        <v>10000</v>
      </c>
      <c r="G69" s="6"/>
    </row>
    <row r="70" spans="1:7" ht="12.75">
      <c r="A70" s="8" t="s">
        <v>86</v>
      </c>
      <c r="B70" s="8" t="s">
        <v>10</v>
      </c>
      <c r="C70" s="8">
        <v>18</v>
      </c>
      <c r="D70" s="8" t="str">
        <f aca="true" t="shared" si="1" ref="D70:D134">A70&amp;B70&amp;C70</f>
        <v>TC_DEVG18</v>
      </c>
      <c r="E70" s="8">
        <v>20</v>
      </c>
      <c r="F70" s="8">
        <v>10000</v>
      </c>
      <c r="G70" s="4"/>
    </row>
    <row r="71" spans="1:7" ht="12.75">
      <c r="A71" s="8" t="s">
        <v>86</v>
      </c>
      <c r="B71" s="8" t="s">
        <v>10</v>
      </c>
      <c r="C71" s="8">
        <v>26</v>
      </c>
      <c r="D71" s="8" t="str">
        <f t="shared" si="1"/>
        <v>TC_DEVG26</v>
      </c>
      <c r="E71" s="8">
        <v>28</v>
      </c>
      <c r="F71" s="8">
        <v>10000</v>
      </c>
      <c r="G71" s="4"/>
    </row>
    <row r="72" spans="1:7" ht="12.75">
      <c r="A72" s="5" t="s">
        <v>87</v>
      </c>
      <c r="B72" s="4" t="s">
        <v>3</v>
      </c>
      <c r="C72" s="4">
        <v>13</v>
      </c>
      <c r="D72" s="8" t="str">
        <f t="shared" si="1"/>
        <v>TC_TVVG13</v>
      </c>
      <c r="E72" s="4">
        <v>17</v>
      </c>
      <c r="F72" s="4">
        <v>7000</v>
      </c>
      <c r="G72" s="4"/>
    </row>
    <row r="73" spans="1:7" ht="12.75">
      <c r="A73" s="5" t="s">
        <v>87</v>
      </c>
      <c r="B73" s="4" t="s">
        <v>3</v>
      </c>
      <c r="C73" s="4">
        <v>18</v>
      </c>
      <c r="D73" s="8" t="str">
        <f t="shared" si="1"/>
        <v>TC_TVVG18</v>
      </c>
      <c r="E73" s="4">
        <v>23</v>
      </c>
      <c r="F73" s="4">
        <v>7000</v>
      </c>
      <c r="G73" s="4"/>
    </row>
    <row r="74" spans="1:7" ht="12.75">
      <c r="A74" s="5" t="s">
        <v>87</v>
      </c>
      <c r="B74" s="4" t="s">
        <v>3</v>
      </c>
      <c r="C74" s="4">
        <v>26</v>
      </c>
      <c r="D74" s="8" t="str">
        <f t="shared" si="1"/>
        <v>TC_TVVG26</v>
      </c>
      <c r="E74" s="4">
        <v>33.5</v>
      </c>
      <c r="F74" s="4">
        <v>7000</v>
      </c>
      <c r="G74" s="6"/>
    </row>
    <row r="75" spans="1:7" ht="12.75">
      <c r="A75" s="4" t="s">
        <v>87</v>
      </c>
      <c r="B75" s="4" t="s">
        <v>10</v>
      </c>
      <c r="C75" s="4">
        <v>13</v>
      </c>
      <c r="D75" s="8" t="str">
        <f t="shared" si="1"/>
        <v>TC_TEVG13</v>
      </c>
      <c r="E75" s="4">
        <v>14</v>
      </c>
      <c r="F75" s="4">
        <v>8500</v>
      </c>
      <c r="G75" s="4"/>
    </row>
    <row r="76" spans="1:7" ht="12.75">
      <c r="A76" s="4" t="s">
        <v>87</v>
      </c>
      <c r="B76" s="4" t="s">
        <v>10</v>
      </c>
      <c r="C76" s="4">
        <v>18</v>
      </c>
      <c r="D76" s="8" t="str">
        <f t="shared" si="1"/>
        <v>TC_TEVG18</v>
      </c>
      <c r="E76" s="4">
        <v>20</v>
      </c>
      <c r="F76" s="4">
        <v>8500</v>
      </c>
      <c r="G76" s="6"/>
    </row>
    <row r="77" spans="1:7" ht="12.75">
      <c r="A77" s="4" t="s">
        <v>87</v>
      </c>
      <c r="B77" s="4" t="s">
        <v>10</v>
      </c>
      <c r="C77" s="4">
        <v>26</v>
      </c>
      <c r="D77" s="8" t="str">
        <f t="shared" si="1"/>
        <v>TC_TEVG26</v>
      </c>
      <c r="E77" s="4">
        <v>28</v>
      </c>
      <c r="F77" s="4">
        <v>8500</v>
      </c>
      <c r="G77" s="4"/>
    </row>
    <row r="78" spans="1:7" ht="12.75">
      <c r="A78" s="4" t="s">
        <v>87</v>
      </c>
      <c r="B78" s="4" t="s">
        <v>10</v>
      </c>
      <c r="C78" s="4">
        <v>32</v>
      </c>
      <c r="D78" s="8" t="str">
        <f t="shared" si="1"/>
        <v>TC_TEVG32</v>
      </c>
      <c r="E78" s="4">
        <v>35</v>
      </c>
      <c r="F78" s="4">
        <v>8500</v>
      </c>
      <c r="G78" s="4"/>
    </row>
    <row r="79" spans="1:7" ht="12.75">
      <c r="A79" s="4" t="s">
        <v>87</v>
      </c>
      <c r="B79" s="4" t="s">
        <v>10</v>
      </c>
      <c r="C79" s="4">
        <v>42</v>
      </c>
      <c r="D79" s="8" t="str">
        <f t="shared" si="1"/>
        <v>TC_TEVG42</v>
      </c>
      <c r="E79" s="4">
        <v>46</v>
      </c>
      <c r="F79" s="4">
        <v>8500</v>
      </c>
      <c r="G79" s="4"/>
    </row>
    <row r="80" spans="1:7" ht="12.75">
      <c r="A80" s="8" t="s">
        <v>85</v>
      </c>
      <c r="B80" s="8" t="s">
        <v>3</v>
      </c>
      <c r="C80" s="8">
        <v>18</v>
      </c>
      <c r="D80" s="8" t="str">
        <f t="shared" si="1"/>
        <v>TC_LVVG18</v>
      </c>
      <c r="E80" s="9">
        <v>25.5</v>
      </c>
      <c r="F80" s="8">
        <v>11000</v>
      </c>
      <c r="G80" s="4"/>
    </row>
    <row r="81" spans="1:7" ht="12.75">
      <c r="A81" s="8" t="s">
        <v>85</v>
      </c>
      <c r="B81" s="8" t="s">
        <v>3</v>
      </c>
      <c r="C81" s="8">
        <v>24</v>
      </c>
      <c r="D81" s="8" t="str">
        <f t="shared" si="1"/>
        <v>TC_LVVG24</v>
      </c>
      <c r="E81" s="9">
        <v>31.5</v>
      </c>
      <c r="F81" s="8">
        <v>11000</v>
      </c>
      <c r="G81" s="4"/>
    </row>
    <row r="82" spans="1:6" ht="12.75">
      <c r="A82" s="8" t="s">
        <v>85</v>
      </c>
      <c r="B82" s="8" t="s">
        <v>3</v>
      </c>
      <c r="C82" s="8">
        <v>36</v>
      </c>
      <c r="D82" s="8" t="str">
        <f t="shared" si="1"/>
        <v>TC_LVVG36</v>
      </c>
      <c r="E82" s="9">
        <v>44.5</v>
      </c>
      <c r="F82" s="8">
        <v>11000</v>
      </c>
    </row>
    <row r="83" spans="1:7" ht="12.75">
      <c r="A83" s="8" t="s">
        <v>85</v>
      </c>
      <c r="B83" s="8" t="s">
        <v>10</v>
      </c>
      <c r="C83" s="8">
        <v>18</v>
      </c>
      <c r="D83" s="8" t="str">
        <f t="shared" si="1"/>
        <v>TC_LEVG18</v>
      </c>
      <c r="E83" s="8">
        <v>19</v>
      </c>
      <c r="F83" s="8">
        <v>16000</v>
      </c>
      <c r="G83" s="4"/>
    </row>
    <row r="84" spans="1:7" ht="12.75">
      <c r="A84" s="8" t="s">
        <v>85</v>
      </c>
      <c r="B84" s="8" t="s">
        <v>10</v>
      </c>
      <c r="C84" s="8">
        <v>24</v>
      </c>
      <c r="D84" s="8" t="str">
        <f t="shared" si="1"/>
        <v>TC_LEVG24</v>
      </c>
      <c r="E84" s="8">
        <v>27</v>
      </c>
      <c r="F84" s="8">
        <v>16000</v>
      </c>
      <c r="G84" s="4"/>
    </row>
    <row r="85" spans="1:7" ht="12.75">
      <c r="A85" s="8" t="s">
        <v>85</v>
      </c>
      <c r="B85" s="8" t="s">
        <v>10</v>
      </c>
      <c r="C85" s="8">
        <v>36</v>
      </c>
      <c r="D85" s="8" t="str">
        <f t="shared" si="1"/>
        <v>TC_LEVG36</v>
      </c>
      <c r="E85" s="8">
        <v>39</v>
      </c>
      <c r="F85" s="8">
        <v>16000</v>
      </c>
      <c r="G85" s="4"/>
    </row>
    <row r="86" spans="1:7" ht="12.75">
      <c r="A86" s="8" t="s">
        <v>85</v>
      </c>
      <c r="B86" s="8" t="s">
        <v>10</v>
      </c>
      <c r="C86" s="8">
        <v>40</v>
      </c>
      <c r="D86" s="8" t="str">
        <f t="shared" si="1"/>
        <v>TC_LEVG40</v>
      </c>
      <c r="E86" s="8">
        <v>45</v>
      </c>
      <c r="F86" s="8">
        <v>16000</v>
      </c>
      <c r="G86" s="4"/>
    </row>
    <row r="87" spans="1:7" ht="12.75">
      <c r="A87" s="8" t="s">
        <v>85</v>
      </c>
      <c r="B87" s="8" t="s">
        <v>10</v>
      </c>
      <c r="C87" s="8">
        <v>55</v>
      </c>
      <c r="D87" s="8" t="str">
        <f t="shared" si="1"/>
        <v>TC_LEVG55</v>
      </c>
      <c r="E87" s="8">
        <v>62</v>
      </c>
      <c r="F87" s="8">
        <v>16000</v>
      </c>
      <c r="G87" s="4"/>
    </row>
    <row r="88" spans="1:7" ht="12.75">
      <c r="A88" s="4" t="s">
        <v>88</v>
      </c>
      <c r="B88" s="4" t="s">
        <v>3</v>
      </c>
      <c r="C88" s="4">
        <v>18</v>
      </c>
      <c r="D88" s="8" t="str">
        <f t="shared" si="1"/>
        <v>TC_FVVG18</v>
      </c>
      <c r="E88" s="4">
        <v>25.5</v>
      </c>
      <c r="F88" s="4">
        <v>11000</v>
      </c>
      <c r="G88" s="4"/>
    </row>
    <row r="89" spans="1:7" ht="12.75">
      <c r="A89" s="4" t="s">
        <v>88</v>
      </c>
      <c r="B89" s="4" t="s">
        <v>3</v>
      </c>
      <c r="C89" s="4">
        <v>24</v>
      </c>
      <c r="D89" s="8" t="str">
        <f t="shared" si="1"/>
        <v>TC_FVVG24</v>
      </c>
      <c r="E89" s="4">
        <v>31.5</v>
      </c>
      <c r="F89" s="4">
        <v>11000</v>
      </c>
      <c r="G89" s="4"/>
    </row>
    <row r="90" spans="1:7" ht="12.75">
      <c r="A90" s="4" t="s">
        <v>88</v>
      </c>
      <c r="B90" s="4" t="s">
        <v>3</v>
      </c>
      <c r="C90" s="4">
        <v>36</v>
      </c>
      <c r="D90" s="8" t="str">
        <f t="shared" si="1"/>
        <v>TC_FVVG36</v>
      </c>
      <c r="E90" s="4">
        <v>44.5</v>
      </c>
      <c r="F90" s="4">
        <v>11000</v>
      </c>
      <c r="G90" s="4"/>
    </row>
    <row r="91" spans="1:7" ht="12.75">
      <c r="A91" s="4" t="s">
        <v>88</v>
      </c>
      <c r="B91" s="4" t="s">
        <v>10</v>
      </c>
      <c r="C91" s="4">
        <v>18</v>
      </c>
      <c r="D91" s="8" t="str">
        <f t="shared" si="1"/>
        <v>TC_FEVG18</v>
      </c>
      <c r="E91" s="4">
        <v>19</v>
      </c>
      <c r="F91" s="4">
        <v>16000</v>
      </c>
      <c r="G91" s="4"/>
    </row>
    <row r="92" spans="1:7" ht="12.75">
      <c r="A92" s="4" t="s">
        <v>88</v>
      </c>
      <c r="B92" s="4" t="s">
        <v>10</v>
      </c>
      <c r="C92" s="4">
        <v>24</v>
      </c>
      <c r="D92" s="8" t="str">
        <f t="shared" si="1"/>
        <v>TC_FEVG24</v>
      </c>
      <c r="E92" s="4">
        <v>27</v>
      </c>
      <c r="F92" s="4">
        <v>16000</v>
      </c>
      <c r="G92" s="4"/>
    </row>
    <row r="93" spans="1:7" ht="12.75">
      <c r="A93" s="4" t="s">
        <v>88</v>
      </c>
      <c r="B93" s="4" t="s">
        <v>10</v>
      </c>
      <c r="C93" s="4">
        <v>36</v>
      </c>
      <c r="D93" s="8" t="str">
        <f t="shared" si="1"/>
        <v>TC_FEVG36</v>
      </c>
      <c r="E93" s="4">
        <v>39</v>
      </c>
      <c r="F93" s="4">
        <v>16000</v>
      </c>
      <c r="G93" s="4"/>
    </row>
    <row r="94" spans="1:7" ht="12.75">
      <c r="A94" s="8" t="s">
        <v>13</v>
      </c>
      <c r="B94" s="8" t="s">
        <v>3</v>
      </c>
      <c r="C94" s="8">
        <v>70</v>
      </c>
      <c r="D94" s="8" t="str">
        <f t="shared" si="1"/>
        <v>HIEVVG70</v>
      </c>
      <c r="E94" s="8">
        <v>89</v>
      </c>
      <c r="F94" s="8">
        <v>9000</v>
      </c>
      <c r="G94" s="4"/>
    </row>
    <row r="95" spans="1:7" ht="12.75">
      <c r="A95" s="8" t="s">
        <v>13</v>
      </c>
      <c r="B95" s="8" t="s">
        <v>3</v>
      </c>
      <c r="C95" s="8">
        <v>73</v>
      </c>
      <c r="D95" s="8" t="str">
        <f t="shared" si="1"/>
        <v>HIEVVG73</v>
      </c>
      <c r="E95" s="8">
        <v>89</v>
      </c>
      <c r="F95" s="8">
        <v>9000</v>
      </c>
      <c r="G95" s="4"/>
    </row>
    <row r="96" spans="1:7" ht="12.75">
      <c r="A96" s="8" t="s">
        <v>13</v>
      </c>
      <c r="B96" s="8" t="s">
        <v>3</v>
      </c>
      <c r="C96" s="8">
        <v>100</v>
      </c>
      <c r="D96" s="8" t="str">
        <f t="shared" si="1"/>
        <v>HIEVVG100</v>
      </c>
      <c r="E96" s="8">
        <v>115</v>
      </c>
      <c r="F96" s="8">
        <v>9000</v>
      </c>
      <c r="G96" s="4"/>
    </row>
    <row r="97" spans="1:7" ht="12.75">
      <c r="A97" s="8" t="s">
        <v>13</v>
      </c>
      <c r="B97" s="8" t="s">
        <v>3</v>
      </c>
      <c r="C97" s="8">
        <v>150</v>
      </c>
      <c r="D97" s="8" t="str">
        <f t="shared" si="1"/>
        <v>HIEVVG150</v>
      </c>
      <c r="E97" s="8">
        <v>170</v>
      </c>
      <c r="F97" s="8">
        <v>9000</v>
      </c>
      <c r="G97" s="4"/>
    </row>
    <row r="98" spans="1:7" ht="12.75">
      <c r="A98" s="8" t="s">
        <v>13</v>
      </c>
      <c r="B98" s="8" t="s">
        <v>3</v>
      </c>
      <c r="C98" s="8">
        <v>250</v>
      </c>
      <c r="D98" s="8" t="str">
        <f t="shared" si="1"/>
        <v>HIEVVG250</v>
      </c>
      <c r="E98" s="8">
        <v>275</v>
      </c>
      <c r="F98" s="8">
        <v>6000</v>
      </c>
      <c r="G98" s="4"/>
    </row>
    <row r="99" spans="1:7" ht="12.75">
      <c r="A99" s="84" t="s">
        <v>13</v>
      </c>
      <c r="B99" s="84" t="s">
        <v>3</v>
      </c>
      <c r="C99" s="84">
        <v>400</v>
      </c>
      <c r="D99" s="8" t="str">
        <f t="shared" si="1"/>
        <v>HIEVVG400</v>
      </c>
      <c r="E99" s="84">
        <v>480</v>
      </c>
      <c r="F99" s="84">
        <v>6000</v>
      </c>
      <c r="G99" s="4"/>
    </row>
    <row r="100" spans="1:7" ht="12.75">
      <c r="A100" s="4" t="s">
        <v>12</v>
      </c>
      <c r="B100" s="4" t="s">
        <v>3</v>
      </c>
      <c r="C100" s="4">
        <v>35</v>
      </c>
      <c r="D100" s="8" t="str">
        <f t="shared" si="1"/>
        <v>HITVVG35</v>
      </c>
      <c r="E100" s="4">
        <v>43</v>
      </c>
      <c r="F100" s="4">
        <v>6000</v>
      </c>
      <c r="G100" s="4"/>
    </row>
    <row r="101" spans="1:7" ht="12.75">
      <c r="A101" s="4" t="s">
        <v>12</v>
      </c>
      <c r="B101" s="4" t="s">
        <v>3</v>
      </c>
      <c r="C101" s="4">
        <v>70</v>
      </c>
      <c r="D101" s="8" t="str">
        <f t="shared" si="1"/>
        <v>HITVVG70</v>
      </c>
      <c r="E101" s="4">
        <v>84</v>
      </c>
      <c r="F101" s="4">
        <v>6000</v>
      </c>
      <c r="G101" s="4"/>
    </row>
    <row r="102" spans="1:7" ht="12.75">
      <c r="A102" s="4" t="s">
        <v>12</v>
      </c>
      <c r="B102" s="4" t="s">
        <v>3</v>
      </c>
      <c r="C102" s="4">
        <v>75</v>
      </c>
      <c r="D102" s="8" t="str">
        <f t="shared" si="1"/>
        <v>HITVVG75</v>
      </c>
      <c r="E102" s="4">
        <v>91</v>
      </c>
      <c r="F102" s="4">
        <v>6000</v>
      </c>
      <c r="G102" s="4"/>
    </row>
    <row r="103" spans="1:7" ht="12.75">
      <c r="A103" s="4" t="s">
        <v>12</v>
      </c>
      <c r="B103" s="4" t="s">
        <v>3</v>
      </c>
      <c r="C103" s="4">
        <v>150</v>
      </c>
      <c r="D103" s="8" t="str">
        <f t="shared" si="1"/>
        <v>HITVVG150</v>
      </c>
      <c r="E103" s="4">
        <v>168</v>
      </c>
      <c r="F103" s="4">
        <v>6000</v>
      </c>
      <c r="G103" s="4"/>
    </row>
    <row r="104" spans="1:7" ht="12.75">
      <c r="A104" s="4" t="s">
        <v>12</v>
      </c>
      <c r="B104" s="4" t="s">
        <v>3</v>
      </c>
      <c r="C104" s="4">
        <v>250</v>
      </c>
      <c r="D104" s="8" t="str">
        <f t="shared" si="1"/>
        <v>HITVVG250</v>
      </c>
      <c r="E104" s="4">
        <v>273</v>
      </c>
      <c r="F104" s="4">
        <v>9500</v>
      </c>
      <c r="G104" s="4"/>
    </row>
    <row r="105" spans="1:7" ht="12.75">
      <c r="A105" s="4" t="s">
        <v>12</v>
      </c>
      <c r="B105" s="4" t="s">
        <v>3</v>
      </c>
      <c r="C105" s="4">
        <v>400</v>
      </c>
      <c r="D105" s="8" t="str">
        <f t="shared" si="1"/>
        <v>HITVVG400</v>
      </c>
      <c r="E105" s="4">
        <v>429</v>
      </c>
      <c r="F105" s="4">
        <v>9500</v>
      </c>
      <c r="G105" s="4"/>
    </row>
    <row r="106" spans="1:7" ht="12.75">
      <c r="A106" s="4" t="s">
        <v>12</v>
      </c>
      <c r="B106" s="4" t="s">
        <v>10</v>
      </c>
      <c r="C106" s="4">
        <v>70</v>
      </c>
      <c r="D106" s="8" t="str">
        <f t="shared" si="1"/>
        <v>HITEVG70</v>
      </c>
      <c r="E106" s="4">
        <v>83</v>
      </c>
      <c r="F106" s="4">
        <v>6000</v>
      </c>
      <c r="G106" s="4"/>
    </row>
    <row r="107" spans="1:7" ht="12.75">
      <c r="A107" s="4" t="s">
        <v>12</v>
      </c>
      <c r="B107" s="4" t="s">
        <v>10</v>
      </c>
      <c r="C107" s="4">
        <v>75</v>
      </c>
      <c r="D107" s="8" t="str">
        <f t="shared" si="1"/>
        <v>HITEVG75</v>
      </c>
      <c r="E107" s="4">
        <v>82</v>
      </c>
      <c r="F107" s="4">
        <v>6000</v>
      </c>
      <c r="G107" s="4"/>
    </row>
    <row r="108" spans="1:7" ht="12.75">
      <c r="A108" s="8" t="s">
        <v>82</v>
      </c>
      <c r="B108" s="8" t="s">
        <v>3</v>
      </c>
      <c r="C108" s="8">
        <v>70</v>
      </c>
      <c r="D108" s="8" t="str">
        <f t="shared" si="1"/>
        <v>HIT_DEVVG70</v>
      </c>
      <c r="E108" s="8">
        <v>85.6</v>
      </c>
      <c r="F108" s="8">
        <v>8000</v>
      </c>
      <c r="G108" s="4"/>
    </row>
    <row r="109" spans="1:7" ht="12.75">
      <c r="A109" s="8" t="s">
        <v>82</v>
      </c>
      <c r="B109" s="8" t="s">
        <v>3</v>
      </c>
      <c r="C109" s="8">
        <v>71</v>
      </c>
      <c r="D109" s="8" t="str">
        <f t="shared" si="1"/>
        <v>HIT_DEVVG71</v>
      </c>
      <c r="E109" s="8">
        <v>85.6</v>
      </c>
      <c r="F109" s="8">
        <v>8000</v>
      </c>
      <c r="G109" s="4"/>
    </row>
    <row r="110" spans="1:7" ht="12.75">
      <c r="A110" s="8" t="s">
        <v>82</v>
      </c>
      <c r="B110" s="8" t="s">
        <v>3</v>
      </c>
      <c r="C110" s="8">
        <v>75</v>
      </c>
      <c r="D110" s="8" t="str">
        <f t="shared" si="1"/>
        <v>HIT_DEVVG75</v>
      </c>
      <c r="E110" s="8">
        <v>89</v>
      </c>
      <c r="F110" s="8">
        <v>8000</v>
      </c>
      <c r="G110" s="4"/>
    </row>
    <row r="111" spans="1:7" ht="12.75">
      <c r="A111" s="8" t="s">
        <v>82</v>
      </c>
      <c r="B111" s="8" t="s">
        <v>3</v>
      </c>
      <c r="C111" s="8">
        <v>147</v>
      </c>
      <c r="D111" s="8" t="str">
        <f t="shared" si="1"/>
        <v>HIT_DEVVG147</v>
      </c>
      <c r="E111" s="8">
        <v>169</v>
      </c>
      <c r="F111" s="8">
        <v>8000</v>
      </c>
      <c r="G111" s="4"/>
    </row>
    <row r="112" spans="1:7" ht="12.75">
      <c r="A112" s="8" t="s">
        <v>82</v>
      </c>
      <c r="B112" s="8" t="s">
        <v>3</v>
      </c>
      <c r="C112" s="8">
        <v>150</v>
      </c>
      <c r="D112" s="8" t="str">
        <f t="shared" si="1"/>
        <v>HIT_DEVVG150</v>
      </c>
      <c r="E112" s="8">
        <v>169</v>
      </c>
      <c r="F112" s="8">
        <v>8000</v>
      </c>
      <c r="G112" s="4"/>
    </row>
    <row r="113" spans="1:6" ht="12.75">
      <c r="A113" s="8" t="s">
        <v>82</v>
      </c>
      <c r="B113" s="8" t="s">
        <v>3</v>
      </c>
      <c r="C113" s="8">
        <v>250</v>
      </c>
      <c r="D113" s="8" t="str">
        <f t="shared" si="1"/>
        <v>HIT_DEVVG250</v>
      </c>
      <c r="E113" s="8">
        <v>275</v>
      </c>
      <c r="F113" s="8">
        <v>8000</v>
      </c>
    </row>
    <row r="114" spans="1:6" ht="12.75">
      <c r="A114" s="8" t="s">
        <v>82</v>
      </c>
      <c r="B114" s="8" t="s">
        <v>3</v>
      </c>
      <c r="C114" s="8">
        <v>252</v>
      </c>
      <c r="D114" s="8" t="str">
        <f t="shared" si="1"/>
        <v>HIT_DEVVG252</v>
      </c>
      <c r="E114" s="8">
        <v>278</v>
      </c>
      <c r="F114" s="8">
        <v>8000</v>
      </c>
    </row>
    <row r="115" spans="1:7" ht="12.75">
      <c r="A115" s="8" t="s">
        <v>82</v>
      </c>
      <c r="B115" s="8" t="s">
        <v>10</v>
      </c>
      <c r="C115" s="8">
        <v>70</v>
      </c>
      <c r="D115" s="8" t="str">
        <f t="shared" si="1"/>
        <v>HIT_DEEVG70</v>
      </c>
      <c r="E115" s="8">
        <v>82</v>
      </c>
      <c r="F115" s="8">
        <v>8000</v>
      </c>
      <c r="G115" s="4"/>
    </row>
    <row r="116" spans="1:7" ht="12.75">
      <c r="A116" s="8" t="s">
        <v>82</v>
      </c>
      <c r="B116" s="8" t="s">
        <v>10</v>
      </c>
      <c r="C116" s="8">
        <v>71</v>
      </c>
      <c r="D116" s="8" t="str">
        <f t="shared" si="1"/>
        <v>HIT_DEEVG71</v>
      </c>
      <c r="E116" s="8">
        <v>84</v>
      </c>
      <c r="F116" s="8">
        <v>8000</v>
      </c>
      <c r="G116" s="4"/>
    </row>
    <row r="117" spans="1:7" ht="12.75">
      <c r="A117" s="8" t="s">
        <v>82</v>
      </c>
      <c r="B117" s="8" t="s">
        <v>10</v>
      </c>
      <c r="C117" s="8">
        <v>75</v>
      </c>
      <c r="D117" s="8" t="str">
        <f t="shared" si="1"/>
        <v>HIT_DEEVG75</v>
      </c>
      <c r="E117" s="8">
        <v>82</v>
      </c>
      <c r="F117" s="8">
        <v>8000</v>
      </c>
      <c r="G117" s="4"/>
    </row>
    <row r="118" spans="1:7" ht="12.75">
      <c r="A118" s="8" t="s">
        <v>82</v>
      </c>
      <c r="B118" s="8" t="s">
        <v>10</v>
      </c>
      <c r="C118" s="8">
        <v>147</v>
      </c>
      <c r="D118" s="8" t="str">
        <f t="shared" si="1"/>
        <v>HIT_DEEVG147</v>
      </c>
      <c r="E118" s="8">
        <v>165.2</v>
      </c>
      <c r="F118" s="8">
        <v>8000</v>
      </c>
      <c r="G118" s="4"/>
    </row>
    <row r="119" spans="1:7" ht="12.75">
      <c r="A119" s="8" t="s">
        <v>82</v>
      </c>
      <c r="B119" s="8" t="s">
        <v>10</v>
      </c>
      <c r="C119" s="8">
        <v>150</v>
      </c>
      <c r="D119" s="8" t="str">
        <f t="shared" si="1"/>
        <v>HIT_DEEVG150</v>
      </c>
      <c r="E119" s="8">
        <v>160</v>
      </c>
      <c r="F119" s="8">
        <v>8000</v>
      </c>
      <c r="G119" s="4"/>
    </row>
    <row r="120" spans="1:7" ht="12.75">
      <c r="A120" s="8" t="s">
        <v>82</v>
      </c>
      <c r="B120" s="8" t="s">
        <v>10</v>
      </c>
      <c r="C120" s="8">
        <v>250</v>
      </c>
      <c r="D120" s="8" t="str">
        <f t="shared" si="1"/>
        <v>HIT_DEEVG250</v>
      </c>
      <c r="E120" s="8">
        <v>275</v>
      </c>
      <c r="F120" s="8">
        <v>8000</v>
      </c>
      <c r="G120" s="4"/>
    </row>
    <row r="121" spans="1:7" ht="12.75">
      <c r="A121" s="8" t="s">
        <v>82</v>
      </c>
      <c r="B121" s="8" t="s">
        <v>10</v>
      </c>
      <c r="C121" s="8">
        <v>252</v>
      </c>
      <c r="D121" s="8" t="str">
        <f t="shared" si="1"/>
        <v>HIT_DEEVG252</v>
      </c>
      <c r="E121" s="8">
        <v>278</v>
      </c>
      <c r="F121" s="8">
        <v>8000</v>
      </c>
      <c r="G121" s="4"/>
    </row>
    <row r="122" spans="1:7" ht="12.75">
      <c r="A122" s="5" t="s">
        <v>9</v>
      </c>
      <c r="B122" s="5" t="s">
        <v>3</v>
      </c>
      <c r="C122" s="5">
        <v>50</v>
      </c>
      <c r="D122" s="8" t="str">
        <f t="shared" si="1"/>
        <v>HMEVVG50</v>
      </c>
      <c r="E122" s="5">
        <v>59</v>
      </c>
      <c r="F122" s="4">
        <v>8000</v>
      </c>
      <c r="G122" s="7"/>
    </row>
    <row r="123" spans="1:7" ht="12.75">
      <c r="A123" s="5" t="s">
        <v>9</v>
      </c>
      <c r="B123" s="5" t="s">
        <v>3</v>
      </c>
      <c r="C123" s="5">
        <v>80</v>
      </c>
      <c r="D123" s="8" t="str">
        <f t="shared" si="1"/>
        <v>HMEVVG80</v>
      </c>
      <c r="E123" s="5">
        <v>89</v>
      </c>
      <c r="F123" s="4">
        <v>8000</v>
      </c>
      <c r="G123" s="7"/>
    </row>
    <row r="124" spans="1:7" ht="12.75">
      <c r="A124" s="5" t="s">
        <v>9</v>
      </c>
      <c r="B124" s="5" t="s">
        <v>3</v>
      </c>
      <c r="C124" s="5">
        <v>125</v>
      </c>
      <c r="D124" s="8" t="str">
        <f t="shared" si="1"/>
        <v>HMEVVG125</v>
      </c>
      <c r="E124" s="5">
        <v>137</v>
      </c>
      <c r="F124" s="4">
        <v>8000</v>
      </c>
      <c r="G124" s="7"/>
    </row>
    <row r="125" spans="1:7" ht="12.75">
      <c r="A125" s="5" t="s">
        <v>9</v>
      </c>
      <c r="B125" s="5" t="s">
        <v>3</v>
      </c>
      <c r="C125" s="5">
        <v>250</v>
      </c>
      <c r="D125" s="8" t="str">
        <f t="shared" si="1"/>
        <v>HMEVVG250</v>
      </c>
      <c r="E125" s="5">
        <v>266</v>
      </c>
      <c r="F125" s="4">
        <v>8000</v>
      </c>
      <c r="G125" s="7"/>
    </row>
    <row r="126" spans="1:7" ht="12.75">
      <c r="A126" s="5" t="s">
        <v>9</v>
      </c>
      <c r="B126" s="5" t="s">
        <v>3</v>
      </c>
      <c r="C126" s="5">
        <v>400</v>
      </c>
      <c r="D126" s="8" t="str">
        <f t="shared" si="1"/>
        <v>HMEVVG400</v>
      </c>
      <c r="E126" s="5">
        <v>424.5</v>
      </c>
      <c r="F126" s="4">
        <v>8000</v>
      </c>
      <c r="G126" s="7"/>
    </row>
    <row r="127" spans="1:7" ht="12.75">
      <c r="A127" s="8" t="s">
        <v>8</v>
      </c>
      <c r="B127" s="8" t="s">
        <v>3</v>
      </c>
      <c r="C127" s="8">
        <v>50</v>
      </c>
      <c r="D127" s="8" t="str">
        <f t="shared" si="1"/>
        <v>HSEVVG50</v>
      </c>
      <c r="E127" s="8">
        <v>59.5</v>
      </c>
      <c r="F127" s="8">
        <v>16000</v>
      </c>
      <c r="G127" s="7"/>
    </row>
    <row r="128" spans="1:7" ht="12.75">
      <c r="A128" s="8" t="s">
        <v>8</v>
      </c>
      <c r="B128" s="8" t="s">
        <v>3</v>
      </c>
      <c r="C128" s="8">
        <v>70</v>
      </c>
      <c r="D128" s="8" t="str">
        <f t="shared" si="1"/>
        <v>HSEVVG70</v>
      </c>
      <c r="E128" s="8">
        <v>80.5</v>
      </c>
      <c r="F128" s="8">
        <v>16000</v>
      </c>
      <c r="G128" s="7"/>
    </row>
    <row r="129" spans="1:7" ht="12.75">
      <c r="A129" s="8" t="s">
        <v>8</v>
      </c>
      <c r="B129" s="8" t="s">
        <v>3</v>
      </c>
      <c r="C129" s="8">
        <v>100</v>
      </c>
      <c r="D129" s="8" t="str">
        <f t="shared" si="1"/>
        <v>HSEVVG100</v>
      </c>
      <c r="E129" s="8">
        <v>114</v>
      </c>
      <c r="F129" s="8">
        <v>16000</v>
      </c>
      <c r="G129" s="7"/>
    </row>
    <row r="130" spans="1:6" ht="12.75">
      <c r="A130" s="8" t="s">
        <v>8</v>
      </c>
      <c r="B130" s="8" t="s">
        <v>3</v>
      </c>
      <c r="C130" s="8">
        <v>150</v>
      </c>
      <c r="D130" s="8" t="str">
        <f t="shared" si="1"/>
        <v>HSEVVG150</v>
      </c>
      <c r="E130" s="8">
        <v>169</v>
      </c>
      <c r="F130" s="8">
        <v>16000</v>
      </c>
    </row>
    <row r="131" spans="1:7" ht="12.75">
      <c r="A131" s="8" t="s">
        <v>8</v>
      </c>
      <c r="B131" s="8" t="s">
        <v>3</v>
      </c>
      <c r="C131" s="8">
        <v>250</v>
      </c>
      <c r="D131" s="8" t="str">
        <f t="shared" si="1"/>
        <v>HSEVVG250</v>
      </c>
      <c r="E131" s="8">
        <v>276</v>
      </c>
      <c r="F131" s="8">
        <v>16000</v>
      </c>
      <c r="G131" s="7"/>
    </row>
    <row r="132" spans="1:7" ht="12.75">
      <c r="A132" s="8" t="s">
        <v>8</v>
      </c>
      <c r="B132" s="8" t="s">
        <v>3</v>
      </c>
      <c r="C132" s="8">
        <v>400</v>
      </c>
      <c r="D132" s="8" t="str">
        <f t="shared" si="1"/>
        <v>HSEVVG400</v>
      </c>
      <c r="E132" s="8">
        <v>429</v>
      </c>
      <c r="F132" s="8">
        <v>16000</v>
      </c>
      <c r="G132" s="7"/>
    </row>
    <row r="133" spans="1:7" ht="12.75">
      <c r="A133" s="5" t="s">
        <v>7</v>
      </c>
      <c r="B133" s="5" t="s">
        <v>3</v>
      </c>
      <c r="C133" s="5">
        <v>50</v>
      </c>
      <c r="D133" s="8" t="str">
        <f t="shared" si="1"/>
        <v>HSTVVG50</v>
      </c>
      <c r="E133" s="5">
        <v>62</v>
      </c>
      <c r="F133" s="8">
        <v>12000</v>
      </c>
      <c r="G133" s="7"/>
    </row>
    <row r="134" spans="1:7" ht="12.75">
      <c r="A134" s="5" t="s">
        <v>7</v>
      </c>
      <c r="B134" s="5" t="s">
        <v>3</v>
      </c>
      <c r="C134" s="5">
        <v>70</v>
      </c>
      <c r="D134" s="8" t="str">
        <f t="shared" si="1"/>
        <v>HSTVVG70</v>
      </c>
      <c r="E134" s="5">
        <v>82.5</v>
      </c>
      <c r="F134" s="8">
        <v>12000</v>
      </c>
      <c r="G134" s="7"/>
    </row>
    <row r="135" spans="1:7" ht="12.75">
      <c r="A135" s="5" t="s">
        <v>7</v>
      </c>
      <c r="B135" s="5" t="s">
        <v>3</v>
      </c>
      <c r="C135" s="5">
        <v>100</v>
      </c>
      <c r="D135" s="8" t="str">
        <f aca="true" t="shared" si="2" ref="D135:D140">A135&amp;B135&amp;C135</f>
        <v>HSTVVG100</v>
      </c>
      <c r="E135" s="5">
        <v>114</v>
      </c>
      <c r="F135" s="8">
        <v>16000</v>
      </c>
      <c r="G135" s="7"/>
    </row>
    <row r="136" spans="1:7" ht="12.75">
      <c r="A136" s="5" t="s">
        <v>7</v>
      </c>
      <c r="B136" s="5" t="s">
        <v>3</v>
      </c>
      <c r="C136" s="5">
        <v>150</v>
      </c>
      <c r="D136" s="8" t="str">
        <f t="shared" si="2"/>
        <v>HSTVVG150</v>
      </c>
      <c r="E136" s="5">
        <v>166</v>
      </c>
      <c r="F136" s="8">
        <v>16000</v>
      </c>
      <c r="G136" s="7"/>
    </row>
    <row r="137" spans="1:7" ht="12.75">
      <c r="A137" s="5" t="s">
        <v>7</v>
      </c>
      <c r="B137" s="5" t="s">
        <v>3</v>
      </c>
      <c r="C137" s="5">
        <v>250</v>
      </c>
      <c r="D137" s="8" t="str">
        <f t="shared" si="2"/>
        <v>HSTVVG250</v>
      </c>
      <c r="E137" s="5">
        <v>275</v>
      </c>
      <c r="F137" s="8">
        <v>16000</v>
      </c>
      <c r="G137" s="7"/>
    </row>
    <row r="138" spans="1:7" ht="12.75">
      <c r="A138" s="5" t="s">
        <v>7</v>
      </c>
      <c r="B138" s="5" t="s">
        <v>3</v>
      </c>
      <c r="C138" s="5">
        <v>400</v>
      </c>
      <c r="D138" s="8" t="str">
        <f t="shared" si="2"/>
        <v>HSTVVG400</v>
      </c>
      <c r="E138" s="5">
        <v>429</v>
      </c>
      <c r="F138" s="8">
        <v>16000</v>
      </c>
      <c r="G138" s="7"/>
    </row>
    <row r="139" spans="1:6" ht="12.75">
      <c r="A139" s="84" t="s">
        <v>79</v>
      </c>
      <c r="B139" s="84"/>
      <c r="C139" s="84"/>
      <c r="D139" s="8" t="str">
        <f t="shared" si="2"/>
        <v>Q</v>
      </c>
      <c r="E139" s="84"/>
      <c r="F139" s="84">
        <v>3000</v>
      </c>
    </row>
    <row r="140" spans="1:6" ht="12.75">
      <c r="A140" s="84" t="s">
        <v>78</v>
      </c>
      <c r="B140" s="84"/>
      <c r="C140" s="84"/>
      <c r="D140" s="8" t="str">
        <f t="shared" si="2"/>
        <v>A</v>
      </c>
      <c r="E140" s="84"/>
      <c r="F140" s="84">
        <v>1000</v>
      </c>
    </row>
  </sheetData>
  <sheetProtection/>
  <dataValidations count="1">
    <dataValidation type="list" allowBlank="1" showInputMessage="1" showErrorMessage="1" sqref="AD1:AD25">
      <formula1>$C$36:$C$38</formula1>
    </dataValidation>
  </dataValidations>
  <printOptions gridLines="1"/>
  <pageMargins left="0.787401575" right="0.787401575" top="0.984251969" bottom="0.984251969" header="0.511811023" footer="0.511811023"/>
  <pageSetup fitToHeight="1" fitToWidth="1" horizontalDpi="300" verticalDpi="300" orientation="landscape" paperSize="9" scale="16" r:id="rId1"/>
  <headerFooter alignWithMargins="0">
    <oddHeader>&amp;C&amp;A</oddHeader>
    <oddFooter>&amp;CSeite &amp;P</oddFooter>
  </headerFooter>
  <rowBreaks count="9" manualBreakCount="9">
    <brk id="254" max="65535" man="1"/>
    <brk id="294" max="65535" man="1"/>
    <brk id="334" max="65535" man="1"/>
    <brk id="366" max="65535" man="1"/>
    <brk id="389" max="65535" man="1"/>
    <brk id="413" max="65535" man="1"/>
    <brk id="477" max="65535" man="1"/>
    <brk id="497" max="65535" man="1"/>
    <brk id="5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TRILUX TRILUX BMU Erfassungsliste</dc:title>
  <dc:subject/>
  <dc:creator>TRILUX, Name</dc:creator>
  <cp:keywords/>
  <dc:description/>
  <cp:lastModifiedBy>Heinze, Robert</cp:lastModifiedBy>
  <cp:lastPrinted>2013-01-31T17:52:04Z</cp:lastPrinted>
  <dcterms:created xsi:type="dcterms:W3CDTF">2012-03-08T10:33:45Z</dcterms:created>
  <dcterms:modified xsi:type="dcterms:W3CDTF">2017-04-10T07:12:23Z</dcterms:modified>
  <cp:category/>
  <cp:version/>
  <cp:contentType/>
  <cp:contentStatus/>
</cp:coreProperties>
</file>